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.asghar\Desktop\"/>
    </mc:Choice>
  </mc:AlternateContent>
  <bookViews>
    <workbookView xWindow="0" yWindow="0" windowWidth="20490" windowHeight="7650"/>
  </bookViews>
  <sheets>
    <sheet name="Master Data Entry" sheetId="1" r:id="rId1"/>
  </sheets>
  <definedNames>
    <definedName name="_xlnm.Print_Area" localSheetId="0">'Master Data Entry'!$B$6:$S$801</definedName>
    <definedName name="_xlnm.Print_Titles" localSheetId="0">'Master Data Entry'!$1:$5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00" i="1" l="1"/>
  <c r="O800" i="1"/>
  <c r="M800" i="1"/>
  <c r="L800" i="1"/>
  <c r="I800" i="1"/>
  <c r="F800" i="1"/>
  <c r="R798" i="1"/>
  <c r="N798" i="1"/>
  <c r="J798" i="1"/>
  <c r="J800" i="1" s="1"/>
  <c r="H798" i="1"/>
  <c r="R797" i="1"/>
  <c r="N797" i="1"/>
  <c r="H797" i="1"/>
  <c r="R796" i="1"/>
  <c r="N796" i="1"/>
  <c r="H796" i="1"/>
  <c r="R795" i="1"/>
  <c r="N795" i="1"/>
  <c r="H795" i="1"/>
  <c r="B795" i="1"/>
  <c r="B796" i="1" s="1"/>
  <c r="B797" i="1" s="1"/>
  <c r="B798" i="1" s="1"/>
  <c r="R794" i="1"/>
  <c r="N794" i="1"/>
  <c r="H794" i="1"/>
  <c r="R791" i="1"/>
  <c r="N791" i="1"/>
  <c r="H791" i="1"/>
  <c r="R790" i="1"/>
  <c r="N790" i="1"/>
  <c r="H790" i="1"/>
  <c r="R789" i="1"/>
  <c r="N789" i="1"/>
  <c r="H789" i="1"/>
  <c r="P788" i="1"/>
  <c r="R788" i="1" s="1"/>
  <c r="N788" i="1"/>
  <c r="H788" i="1"/>
  <c r="R787" i="1"/>
  <c r="N787" i="1"/>
  <c r="H787" i="1"/>
  <c r="R786" i="1"/>
  <c r="N786" i="1"/>
  <c r="H786" i="1"/>
  <c r="R785" i="1"/>
  <c r="N785" i="1"/>
  <c r="H785" i="1"/>
  <c r="R784" i="1"/>
  <c r="N784" i="1"/>
  <c r="H784" i="1"/>
  <c r="R783" i="1"/>
  <c r="N783" i="1"/>
  <c r="H783" i="1"/>
  <c r="R782" i="1"/>
  <c r="N782" i="1"/>
  <c r="H782" i="1"/>
  <c r="R781" i="1"/>
  <c r="N781" i="1"/>
  <c r="H781" i="1"/>
  <c r="R780" i="1"/>
  <c r="N780" i="1"/>
  <c r="H780" i="1"/>
  <c r="R779" i="1"/>
  <c r="N779" i="1"/>
  <c r="H779" i="1"/>
  <c r="R778" i="1"/>
  <c r="N778" i="1"/>
  <c r="H778" i="1"/>
  <c r="R777" i="1"/>
  <c r="N777" i="1"/>
  <c r="H777" i="1"/>
  <c r="R776" i="1"/>
  <c r="N776" i="1"/>
  <c r="H776" i="1"/>
  <c r="R775" i="1"/>
  <c r="N775" i="1"/>
  <c r="H775" i="1"/>
  <c r="B775" i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R774" i="1"/>
  <c r="N774" i="1"/>
  <c r="K774" i="1"/>
  <c r="K800" i="1" s="1"/>
  <c r="H774" i="1"/>
  <c r="S769" i="1"/>
  <c r="O769" i="1"/>
  <c r="M769" i="1"/>
  <c r="L769" i="1"/>
  <c r="K769" i="1"/>
  <c r="J769" i="1"/>
  <c r="I769" i="1"/>
  <c r="F769" i="1"/>
  <c r="R767" i="1"/>
  <c r="N767" i="1"/>
  <c r="H767" i="1"/>
  <c r="Q764" i="1"/>
  <c r="N764" i="1"/>
  <c r="H764" i="1"/>
  <c r="R763" i="1"/>
  <c r="N763" i="1"/>
  <c r="H763" i="1"/>
  <c r="R762" i="1"/>
  <c r="N762" i="1"/>
  <c r="H762" i="1"/>
  <c r="R761" i="1"/>
  <c r="N761" i="1"/>
  <c r="H761" i="1"/>
  <c r="R760" i="1"/>
  <c r="P760" i="1"/>
  <c r="N760" i="1"/>
  <c r="H760" i="1"/>
  <c r="R759" i="1"/>
  <c r="N759" i="1"/>
  <c r="H759" i="1"/>
  <c r="R758" i="1"/>
  <c r="N758" i="1"/>
  <c r="H758" i="1"/>
  <c r="B758" i="1"/>
  <c r="B759" i="1" s="1"/>
  <c r="B760" i="1" s="1"/>
  <c r="B761" i="1" s="1"/>
  <c r="B762" i="1" s="1"/>
  <c r="B763" i="1" s="1"/>
  <c r="B764" i="1" s="1"/>
  <c r="R757" i="1"/>
  <c r="N757" i="1"/>
  <c r="H757" i="1"/>
  <c r="S752" i="1"/>
  <c r="O752" i="1"/>
  <c r="M752" i="1"/>
  <c r="L752" i="1"/>
  <c r="K752" i="1"/>
  <c r="I752" i="1"/>
  <c r="F752" i="1"/>
  <c r="R750" i="1"/>
  <c r="N750" i="1"/>
  <c r="H750" i="1"/>
  <c r="B750" i="1"/>
  <c r="R749" i="1"/>
  <c r="N749" i="1"/>
  <c r="H749" i="1"/>
  <c r="R746" i="1"/>
  <c r="N746" i="1"/>
  <c r="H746" i="1"/>
  <c r="P745" i="1"/>
  <c r="N745" i="1"/>
  <c r="H745" i="1"/>
  <c r="R744" i="1"/>
  <c r="N744" i="1"/>
  <c r="H744" i="1"/>
  <c r="R743" i="1"/>
  <c r="N743" i="1"/>
  <c r="J743" i="1"/>
  <c r="J752" i="1" s="1"/>
  <c r="H743" i="1"/>
  <c r="R742" i="1"/>
  <c r="N742" i="1"/>
  <c r="H742" i="1"/>
  <c r="R741" i="1"/>
  <c r="N741" i="1"/>
  <c r="H741" i="1"/>
  <c r="R740" i="1"/>
  <c r="N740" i="1"/>
  <c r="H740" i="1"/>
  <c r="R739" i="1"/>
  <c r="P739" i="1"/>
  <c r="N739" i="1"/>
  <c r="H739" i="1"/>
  <c r="R738" i="1"/>
  <c r="N738" i="1"/>
  <c r="H738" i="1"/>
  <c r="R737" i="1"/>
  <c r="N737" i="1"/>
  <c r="H737" i="1"/>
  <c r="P736" i="1"/>
  <c r="N736" i="1"/>
  <c r="H736" i="1"/>
  <c r="R735" i="1"/>
  <c r="N735" i="1"/>
  <c r="H735" i="1"/>
  <c r="P734" i="1"/>
  <c r="R734" i="1" s="1"/>
  <c r="N734" i="1"/>
  <c r="H734" i="1"/>
  <c r="R733" i="1"/>
  <c r="N733" i="1"/>
  <c r="H733" i="1"/>
  <c r="R732" i="1"/>
  <c r="N732" i="1"/>
  <c r="H732" i="1"/>
  <c r="R731" i="1"/>
  <c r="N731" i="1"/>
  <c r="H731" i="1"/>
  <c r="R730" i="1"/>
  <c r="N730" i="1"/>
  <c r="H730" i="1"/>
  <c r="R729" i="1"/>
  <c r="N729" i="1"/>
  <c r="H729" i="1"/>
  <c r="R728" i="1"/>
  <c r="N728" i="1"/>
  <c r="H728" i="1"/>
  <c r="R727" i="1"/>
  <c r="N727" i="1"/>
  <c r="H727" i="1"/>
  <c r="Q726" i="1"/>
  <c r="R726" i="1" s="1"/>
  <c r="N726" i="1"/>
  <c r="H726" i="1"/>
  <c r="B726" i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R725" i="1"/>
  <c r="N725" i="1"/>
  <c r="H725" i="1"/>
  <c r="S720" i="1"/>
  <c r="O720" i="1"/>
  <c r="M720" i="1"/>
  <c r="L720" i="1"/>
  <c r="K720" i="1"/>
  <c r="J720" i="1"/>
  <c r="I720" i="1"/>
  <c r="F720" i="1"/>
  <c r="R718" i="1"/>
  <c r="N718" i="1"/>
  <c r="H718" i="1"/>
  <c r="B718" i="1"/>
  <c r="R717" i="1"/>
  <c r="N717" i="1"/>
  <c r="H717" i="1"/>
  <c r="R714" i="1"/>
  <c r="N714" i="1"/>
  <c r="H714" i="1"/>
  <c r="R713" i="1"/>
  <c r="N713" i="1"/>
  <c r="H713" i="1"/>
  <c r="R712" i="1"/>
  <c r="N712" i="1"/>
  <c r="H712" i="1"/>
  <c r="B712" i="1"/>
  <c r="P711" i="1"/>
  <c r="N711" i="1"/>
  <c r="H711" i="1"/>
  <c r="S706" i="1"/>
  <c r="O706" i="1"/>
  <c r="M706" i="1"/>
  <c r="L706" i="1"/>
  <c r="K706" i="1"/>
  <c r="J706" i="1"/>
  <c r="I706" i="1"/>
  <c r="F706" i="1"/>
  <c r="R704" i="1"/>
  <c r="N704" i="1"/>
  <c r="H704" i="1"/>
  <c r="B704" i="1"/>
  <c r="R703" i="1"/>
  <c r="N703" i="1"/>
  <c r="H703" i="1"/>
  <c r="R700" i="1"/>
  <c r="N700" i="1"/>
  <c r="H700" i="1"/>
  <c r="B700" i="1"/>
  <c r="R699" i="1"/>
  <c r="N699" i="1"/>
  <c r="H699" i="1"/>
  <c r="S694" i="1"/>
  <c r="O694" i="1"/>
  <c r="M694" i="1"/>
  <c r="L694" i="1"/>
  <c r="K694" i="1"/>
  <c r="J694" i="1"/>
  <c r="I694" i="1"/>
  <c r="F694" i="1"/>
  <c r="R692" i="1"/>
  <c r="N692" i="1"/>
  <c r="H692" i="1"/>
  <c r="B692" i="1"/>
  <c r="R691" i="1"/>
  <c r="N691" i="1"/>
  <c r="H691" i="1"/>
  <c r="R688" i="1"/>
  <c r="N688" i="1"/>
  <c r="H688" i="1"/>
  <c r="R687" i="1"/>
  <c r="N687" i="1"/>
  <c r="H687" i="1"/>
  <c r="P686" i="1"/>
  <c r="R686" i="1" s="1"/>
  <c r="N686" i="1"/>
  <c r="H686" i="1"/>
  <c r="R685" i="1"/>
  <c r="N685" i="1"/>
  <c r="H685" i="1"/>
  <c r="R684" i="1"/>
  <c r="N684" i="1"/>
  <c r="H684" i="1"/>
  <c r="P683" i="1"/>
  <c r="R683" i="1" s="1"/>
  <c r="N683" i="1"/>
  <c r="H683" i="1"/>
  <c r="B683" i="1"/>
  <c r="B684" i="1" s="1"/>
  <c r="B685" i="1" s="1"/>
  <c r="B686" i="1" s="1"/>
  <c r="B687" i="1" s="1"/>
  <c r="B688" i="1" s="1"/>
  <c r="R682" i="1"/>
  <c r="N682" i="1"/>
  <c r="H682" i="1"/>
  <c r="S677" i="1"/>
  <c r="O677" i="1"/>
  <c r="M677" i="1"/>
  <c r="L677" i="1"/>
  <c r="K677" i="1"/>
  <c r="I677" i="1"/>
  <c r="F677" i="1"/>
  <c r="R675" i="1"/>
  <c r="N675" i="1"/>
  <c r="H675" i="1"/>
  <c r="R674" i="1"/>
  <c r="N674" i="1"/>
  <c r="H674" i="1"/>
  <c r="B674" i="1"/>
  <c r="B675" i="1" s="1"/>
  <c r="R673" i="1"/>
  <c r="N673" i="1"/>
  <c r="H673" i="1"/>
  <c r="R670" i="1"/>
  <c r="N670" i="1"/>
  <c r="H670" i="1"/>
  <c r="R669" i="1"/>
  <c r="N669" i="1"/>
  <c r="H669" i="1"/>
  <c r="R668" i="1"/>
  <c r="N668" i="1"/>
  <c r="H668" i="1"/>
  <c r="R667" i="1"/>
  <c r="N667" i="1"/>
  <c r="H667" i="1"/>
  <c r="R666" i="1"/>
  <c r="N666" i="1"/>
  <c r="H666" i="1"/>
  <c r="R665" i="1"/>
  <c r="N665" i="1"/>
  <c r="H665" i="1"/>
  <c r="P664" i="1"/>
  <c r="N664" i="1"/>
  <c r="H664" i="1"/>
  <c r="R663" i="1"/>
  <c r="N663" i="1"/>
  <c r="H663" i="1"/>
  <c r="P662" i="1"/>
  <c r="R662" i="1" s="1"/>
  <c r="N662" i="1"/>
  <c r="H662" i="1"/>
  <c r="P661" i="1"/>
  <c r="R661" i="1" s="1"/>
  <c r="N661" i="1"/>
  <c r="H661" i="1"/>
  <c r="P660" i="1"/>
  <c r="R660" i="1" s="1"/>
  <c r="N660" i="1"/>
  <c r="H660" i="1"/>
  <c r="Q659" i="1"/>
  <c r="R659" i="1" s="1"/>
  <c r="N659" i="1"/>
  <c r="H659" i="1"/>
  <c r="R658" i="1"/>
  <c r="N658" i="1"/>
  <c r="H658" i="1"/>
  <c r="P657" i="1"/>
  <c r="N657" i="1"/>
  <c r="H657" i="1"/>
  <c r="P656" i="1"/>
  <c r="N656" i="1"/>
  <c r="H656" i="1"/>
  <c r="P655" i="1"/>
  <c r="R655" i="1" s="1"/>
  <c r="N655" i="1"/>
  <c r="H655" i="1"/>
  <c r="R654" i="1"/>
  <c r="N654" i="1"/>
  <c r="H654" i="1"/>
  <c r="R653" i="1"/>
  <c r="N653" i="1"/>
  <c r="H653" i="1"/>
  <c r="P652" i="1"/>
  <c r="R652" i="1" s="1"/>
  <c r="N652" i="1"/>
  <c r="H652" i="1"/>
  <c r="R651" i="1"/>
  <c r="N651" i="1"/>
  <c r="H651" i="1"/>
  <c r="P650" i="1"/>
  <c r="N650" i="1"/>
  <c r="J650" i="1"/>
  <c r="H650" i="1"/>
  <c r="R649" i="1"/>
  <c r="N649" i="1"/>
  <c r="H649" i="1"/>
  <c r="R648" i="1"/>
  <c r="N648" i="1"/>
  <c r="H648" i="1"/>
  <c r="B648" i="1"/>
  <c r="B649" i="1" s="1"/>
  <c r="R647" i="1"/>
  <c r="N647" i="1"/>
  <c r="H647" i="1"/>
  <c r="S642" i="1"/>
  <c r="O642" i="1"/>
  <c r="M642" i="1"/>
  <c r="L642" i="1"/>
  <c r="K642" i="1"/>
  <c r="J642" i="1"/>
  <c r="I642" i="1"/>
  <c r="F642" i="1"/>
  <c r="R640" i="1"/>
  <c r="N640" i="1"/>
  <c r="H640" i="1"/>
  <c r="R639" i="1"/>
  <c r="N639" i="1"/>
  <c r="H639" i="1"/>
  <c r="R638" i="1"/>
  <c r="N638" i="1"/>
  <c r="H638" i="1"/>
  <c r="R637" i="1"/>
  <c r="N637" i="1"/>
  <c r="H637" i="1"/>
  <c r="P636" i="1"/>
  <c r="N636" i="1"/>
  <c r="H636" i="1"/>
  <c r="R635" i="1"/>
  <c r="N635" i="1"/>
  <c r="H635" i="1"/>
  <c r="R634" i="1"/>
  <c r="N634" i="1"/>
  <c r="H634" i="1"/>
  <c r="R633" i="1"/>
  <c r="N633" i="1"/>
  <c r="H633" i="1"/>
  <c r="R632" i="1"/>
  <c r="N632" i="1"/>
  <c r="H632" i="1"/>
  <c r="R631" i="1"/>
  <c r="N631" i="1"/>
  <c r="H631" i="1"/>
  <c r="R630" i="1"/>
  <c r="N630" i="1"/>
  <c r="H630" i="1"/>
  <c r="R629" i="1"/>
  <c r="N629" i="1"/>
  <c r="H629" i="1"/>
  <c r="B629" i="1"/>
  <c r="P628" i="1"/>
  <c r="N628" i="1"/>
  <c r="H628" i="1"/>
  <c r="S623" i="1"/>
  <c r="O623" i="1"/>
  <c r="M623" i="1"/>
  <c r="L623" i="1"/>
  <c r="J623" i="1"/>
  <c r="I623" i="1"/>
  <c r="F623" i="1"/>
  <c r="P621" i="1"/>
  <c r="R621" i="1" s="1"/>
  <c r="N621" i="1"/>
  <c r="H621" i="1"/>
  <c r="R620" i="1"/>
  <c r="N620" i="1"/>
  <c r="H620" i="1"/>
  <c r="R619" i="1"/>
  <c r="N619" i="1"/>
  <c r="H619" i="1"/>
  <c r="P618" i="1"/>
  <c r="R618" i="1" s="1"/>
  <c r="N618" i="1"/>
  <c r="K618" i="1"/>
  <c r="H618" i="1"/>
  <c r="P617" i="1"/>
  <c r="N617" i="1"/>
  <c r="H617" i="1"/>
  <c r="B617" i="1"/>
  <c r="B618" i="1" s="1"/>
  <c r="B619" i="1" s="1"/>
  <c r="B620" i="1" s="1"/>
  <c r="B621" i="1" s="1"/>
  <c r="R616" i="1"/>
  <c r="N616" i="1"/>
  <c r="K616" i="1"/>
  <c r="K623" i="1" s="1"/>
  <c r="H616" i="1"/>
  <c r="S611" i="1"/>
  <c r="O611" i="1"/>
  <c r="M611" i="1"/>
  <c r="L611" i="1"/>
  <c r="J611" i="1"/>
  <c r="I611" i="1"/>
  <c r="F611" i="1"/>
  <c r="R609" i="1"/>
  <c r="N609" i="1"/>
  <c r="H609" i="1"/>
  <c r="P608" i="1"/>
  <c r="N608" i="1"/>
  <c r="H608" i="1"/>
  <c r="R607" i="1"/>
  <c r="N607" i="1"/>
  <c r="H607" i="1"/>
  <c r="R606" i="1"/>
  <c r="N606" i="1"/>
  <c r="K606" i="1"/>
  <c r="K611" i="1" s="1"/>
  <c r="H606" i="1"/>
  <c r="R605" i="1"/>
  <c r="N605" i="1"/>
  <c r="H605" i="1"/>
  <c r="R604" i="1"/>
  <c r="N604" i="1"/>
  <c r="H604" i="1"/>
  <c r="R603" i="1"/>
  <c r="N603" i="1"/>
  <c r="H603" i="1"/>
  <c r="R602" i="1"/>
  <c r="N602" i="1"/>
  <c r="H602" i="1"/>
  <c r="R601" i="1"/>
  <c r="N601" i="1"/>
  <c r="H601" i="1"/>
  <c r="R600" i="1"/>
  <c r="N600" i="1"/>
  <c r="H600" i="1"/>
  <c r="R599" i="1"/>
  <c r="N599" i="1"/>
  <c r="H599" i="1"/>
  <c r="R598" i="1"/>
  <c r="N598" i="1"/>
  <c r="H598" i="1"/>
  <c r="R597" i="1"/>
  <c r="N597" i="1"/>
  <c r="H597" i="1"/>
  <c r="R596" i="1"/>
  <c r="N596" i="1"/>
  <c r="H596" i="1"/>
  <c r="B596" i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R595" i="1"/>
  <c r="N595" i="1"/>
  <c r="H595" i="1"/>
  <c r="S590" i="1"/>
  <c r="O590" i="1"/>
  <c r="M590" i="1"/>
  <c r="L590" i="1"/>
  <c r="K590" i="1"/>
  <c r="J590" i="1"/>
  <c r="I590" i="1"/>
  <c r="F590" i="1"/>
  <c r="R588" i="1"/>
  <c r="N588" i="1"/>
  <c r="H588" i="1"/>
  <c r="P587" i="1"/>
  <c r="R587" i="1" s="1"/>
  <c r="N587" i="1"/>
  <c r="H587" i="1"/>
  <c r="R586" i="1"/>
  <c r="N586" i="1"/>
  <c r="H586" i="1"/>
  <c r="R585" i="1"/>
  <c r="N585" i="1"/>
  <c r="H585" i="1"/>
  <c r="B585" i="1"/>
  <c r="R584" i="1"/>
  <c r="N584" i="1"/>
  <c r="N590" i="1" s="1"/>
  <c r="H584" i="1"/>
  <c r="S579" i="1"/>
  <c r="O579" i="1"/>
  <c r="M579" i="1"/>
  <c r="L579" i="1"/>
  <c r="K579" i="1"/>
  <c r="J579" i="1"/>
  <c r="I579" i="1"/>
  <c r="F579" i="1"/>
  <c r="R577" i="1"/>
  <c r="N577" i="1"/>
  <c r="H577" i="1"/>
  <c r="R574" i="1"/>
  <c r="N574" i="1"/>
  <c r="H574" i="1"/>
  <c r="R573" i="1"/>
  <c r="N573" i="1"/>
  <c r="H573" i="1"/>
  <c r="R572" i="1"/>
  <c r="N572" i="1"/>
  <c r="H572" i="1"/>
  <c r="R571" i="1"/>
  <c r="N571" i="1"/>
  <c r="H571" i="1"/>
  <c r="B571" i="1"/>
  <c r="B572" i="1" s="1"/>
  <c r="B573" i="1" s="1"/>
  <c r="B574" i="1" s="1"/>
  <c r="R570" i="1"/>
  <c r="N570" i="1"/>
  <c r="H570" i="1"/>
  <c r="S565" i="1"/>
  <c r="O565" i="1"/>
  <c r="M565" i="1"/>
  <c r="L565" i="1"/>
  <c r="K565" i="1"/>
  <c r="J565" i="1"/>
  <c r="I565" i="1"/>
  <c r="F565" i="1"/>
  <c r="R563" i="1"/>
  <c r="N563" i="1"/>
  <c r="H563" i="1"/>
  <c r="B563" i="1"/>
  <c r="R562" i="1"/>
  <c r="N562" i="1"/>
  <c r="H562" i="1"/>
  <c r="P559" i="1"/>
  <c r="N559" i="1"/>
  <c r="H559" i="1"/>
  <c r="R558" i="1"/>
  <c r="N558" i="1"/>
  <c r="H558" i="1"/>
  <c r="R557" i="1"/>
  <c r="N557" i="1"/>
  <c r="H557" i="1"/>
  <c r="R556" i="1"/>
  <c r="N556" i="1"/>
  <c r="H556" i="1"/>
  <c r="R555" i="1"/>
  <c r="N555" i="1"/>
  <c r="H555" i="1"/>
  <c r="R554" i="1"/>
  <c r="N554" i="1"/>
  <c r="H554" i="1"/>
  <c r="P553" i="1"/>
  <c r="N553" i="1"/>
  <c r="H553" i="1"/>
  <c r="B553" i="1"/>
  <c r="P552" i="1"/>
  <c r="R552" i="1" s="1"/>
  <c r="N552" i="1"/>
  <c r="H552" i="1"/>
  <c r="S547" i="1"/>
  <c r="O547" i="1"/>
  <c r="M547" i="1"/>
  <c r="L547" i="1"/>
  <c r="K547" i="1"/>
  <c r="J547" i="1"/>
  <c r="I547" i="1"/>
  <c r="F547" i="1"/>
  <c r="R545" i="1"/>
  <c r="N545" i="1"/>
  <c r="H545" i="1"/>
  <c r="R542" i="1"/>
  <c r="N542" i="1"/>
  <c r="H542" i="1"/>
  <c r="R541" i="1"/>
  <c r="N541" i="1"/>
  <c r="H541" i="1"/>
  <c r="Q540" i="1"/>
  <c r="P540" i="1"/>
  <c r="N540" i="1"/>
  <c r="H540" i="1"/>
  <c r="P539" i="1"/>
  <c r="N539" i="1"/>
  <c r="H539" i="1"/>
  <c r="R538" i="1"/>
  <c r="N538" i="1"/>
  <c r="H538" i="1"/>
  <c r="R537" i="1"/>
  <c r="N537" i="1"/>
  <c r="H537" i="1"/>
  <c r="R536" i="1"/>
  <c r="N536" i="1"/>
  <c r="H536" i="1"/>
  <c r="R535" i="1"/>
  <c r="N535" i="1"/>
  <c r="H535" i="1"/>
  <c r="P534" i="1"/>
  <c r="R534" i="1" s="1"/>
  <c r="N534" i="1"/>
  <c r="H534" i="1"/>
  <c r="B534" i="1"/>
  <c r="B535" i="1" s="1"/>
  <c r="B536" i="1" s="1"/>
  <c r="B537" i="1" s="1"/>
  <c r="B538" i="1" s="1"/>
  <c r="B539" i="1" s="1"/>
  <c r="B540" i="1" s="1"/>
  <c r="B541" i="1" s="1"/>
  <c r="B542" i="1" s="1"/>
  <c r="R533" i="1"/>
  <c r="N533" i="1"/>
  <c r="H533" i="1"/>
  <c r="S528" i="1"/>
  <c r="O528" i="1"/>
  <c r="M528" i="1"/>
  <c r="L528" i="1"/>
  <c r="K528" i="1"/>
  <c r="J528" i="1"/>
  <c r="I528" i="1"/>
  <c r="F528" i="1"/>
  <c r="R526" i="1"/>
  <c r="N526" i="1"/>
  <c r="H526" i="1"/>
  <c r="R525" i="1"/>
  <c r="N525" i="1"/>
  <c r="H525" i="1"/>
  <c r="R524" i="1"/>
  <c r="N524" i="1"/>
  <c r="H524" i="1"/>
  <c r="R523" i="1"/>
  <c r="N523" i="1"/>
  <c r="H523" i="1"/>
  <c r="B523" i="1"/>
  <c r="B524" i="1" s="1"/>
  <c r="B525" i="1" s="1"/>
  <c r="B526" i="1" s="1"/>
  <c r="R522" i="1"/>
  <c r="N522" i="1"/>
  <c r="H522" i="1"/>
  <c r="P519" i="1"/>
  <c r="N519" i="1"/>
  <c r="H519" i="1"/>
  <c r="R518" i="1"/>
  <c r="N518" i="1"/>
  <c r="H518" i="1"/>
  <c r="R517" i="1"/>
  <c r="N517" i="1"/>
  <c r="H517" i="1"/>
  <c r="R516" i="1"/>
  <c r="N516" i="1"/>
  <c r="H516" i="1"/>
  <c r="P515" i="1"/>
  <c r="R515" i="1" s="1"/>
  <c r="N515" i="1"/>
  <c r="H515" i="1"/>
  <c r="P514" i="1"/>
  <c r="R514" i="1" s="1"/>
  <c r="N514" i="1"/>
  <c r="H514" i="1"/>
  <c r="R513" i="1"/>
  <c r="N513" i="1"/>
  <c r="H513" i="1"/>
  <c r="R512" i="1"/>
  <c r="N512" i="1"/>
  <c r="H512" i="1"/>
  <c r="R511" i="1"/>
  <c r="N511" i="1"/>
  <c r="H511" i="1"/>
  <c r="R510" i="1"/>
  <c r="N510" i="1"/>
  <c r="H510" i="1"/>
  <c r="R509" i="1"/>
  <c r="N509" i="1"/>
  <c r="H509" i="1"/>
  <c r="R508" i="1"/>
  <c r="N508" i="1"/>
  <c r="H508" i="1"/>
  <c r="R507" i="1"/>
  <c r="N507" i="1"/>
  <c r="H507" i="1"/>
  <c r="B507" i="1"/>
  <c r="R506" i="1"/>
  <c r="N506" i="1"/>
  <c r="H506" i="1"/>
  <c r="S501" i="1"/>
  <c r="O501" i="1"/>
  <c r="M501" i="1"/>
  <c r="L501" i="1"/>
  <c r="K501" i="1"/>
  <c r="J501" i="1"/>
  <c r="I501" i="1"/>
  <c r="F501" i="1"/>
  <c r="P499" i="1"/>
  <c r="N499" i="1"/>
  <c r="H499" i="1"/>
  <c r="P498" i="1"/>
  <c r="R498" i="1" s="1"/>
  <c r="N498" i="1"/>
  <c r="H498" i="1"/>
  <c r="P497" i="1"/>
  <c r="N497" i="1"/>
  <c r="H497" i="1"/>
  <c r="B497" i="1"/>
  <c r="P496" i="1"/>
  <c r="R496" i="1" s="1"/>
  <c r="N496" i="1"/>
  <c r="H496" i="1"/>
  <c r="S491" i="1"/>
  <c r="O491" i="1"/>
  <c r="M491" i="1"/>
  <c r="L491" i="1"/>
  <c r="K491" i="1"/>
  <c r="J491" i="1"/>
  <c r="I491" i="1"/>
  <c r="F491" i="1"/>
  <c r="R489" i="1"/>
  <c r="N489" i="1"/>
  <c r="H489" i="1"/>
  <c r="R486" i="1"/>
  <c r="N486" i="1"/>
  <c r="H486" i="1"/>
  <c r="P485" i="1"/>
  <c r="R485" i="1" s="1"/>
  <c r="N485" i="1"/>
  <c r="H485" i="1"/>
  <c r="R484" i="1"/>
  <c r="N484" i="1"/>
  <c r="H484" i="1"/>
  <c r="P483" i="1"/>
  <c r="R483" i="1" s="1"/>
  <c r="N483" i="1"/>
  <c r="H483" i="1"/>
  <c r="P482" i="1"/>
  <c r="N482" i="1"/>
  <c r="H482" i="1"/>
  <c r="R481" i="1"/>
  <c r="N481" i="1"/>
  <c r="H481" i="1"/>
  <c r="B481" i="1"/>
  <c r="B482" i="1" s="1"/>
  <c r="B483" i="1" s="1"/>
  <c r="B484" i="1" s="1"/>
  <c r="B485" i="1" s="1"/>
  <c r="B486" i="1" s="1"/>
  <c r="P480" i="1"/>
  <c r="N480" i="1"/>
  <c r="H480" i="1"/>
  <c r="S475" i="1"/>
  <c r="O475" i="1"/>
  <c r="M475" i="1"/>
  <c r="L475" i="1"/>
  <c r="K475" i="1"/>
  <c r="J475" i="1"/>
  <c r="I475" i="1"/>
  <c r="F475" i="1"/>
  <c r="R473" i="1"/>
  <c r="N473" i="1"/>
  <c r="H473" i="1"/>
  <c r="B473" i="1"/>
  <c r="R472" i="1"/>
  <c r="N472" i="1"/>
  <c r="H472" i="1"/>
  <c r="R469" i="1"/>
  <c r="N469" i="1"/>
  <c r="H469" i="1"/>
  <c r="P468" i="1"/>
  <c r="R468" i="1" s="1"/>
  <c r="N468" i="1"/>
  <c r="H468" i="1"/>
  <c r="R467" i="1"/>
  <c r="N467" i="1"/>
  <c r="H467" i="1"/>
  <c r="R466" i="1"/>
  <c r="N466" i="1"/>
  <c r="H466" i="1"/>
  <c r="P465" i="1"/>
  <c r="R465" i="1" s="1"/>
  <c r="N465" i="1"/>
  <c r="H465" i="1"/>
  <c r="R464" i="1"/>
  <c r="N464" i="1"/>
  <c r="H464" i="1"/>
  <c r="R463" i="1"/>
  <c r="N463" i="1"/>
  <c r="H463" i="1"/>
  <c r="P462" i="1"/>
  <c r="N462" i="1"/>
  <c r="H462" i="1"/>
  <c r="R461" i="1"/>
  <c r="N461" i="1"/>
  <c r="H461" i="1"/>
  <c r="P460" i="1"/>
  <c r="R460" i="1" s="1"/>
  <c r="N460" i="1"/>
  <c r="H460" i="1"/>
  <c r="R459" i="1"/>
  <c r="N459" i="1"/>
  <c r="H459" i="1"/>
  <c r="P458" i="1"/>
  <c r="N458" i="1"/>
  <c r="H458" i="1"/>
  <c r="P457" i="1"/>
  <c r="R457" i="1" s="1"/>
  <c r="N457" i="1"/>
  <c r="H457" i="1"/>
  <c r="P456" i="1"/>
  <c r="N456" i="1"/>
  <c r="H456" i="1"/>
  <c r="B456" i="1"/>
  <c r="R455" i="1"/>
  <c r="N455" i="1"/>
  <c r="H455" i="1"/>
  <c r="S450" i="1"/>
  <c r="O450" i="1"/>
  <c r="L450" i="1"/>
  <c r="K450" i="1"/>
  <c r="J450" i="1"/>
  <c r="I450" i="1"/>
  <c r="F450" i="1"/>
  <c r="R448" i="1"/>
  <c r="N448" i="1"/>
  <c r="H448" i="1"/>
  <c r="R447" i="1"/>
  <c r="N447" i="1"/>
  <c r="H447" i="1"/>
  <c r="R446" i="1"/>
  <c r="N446" i="1"/>
  <c r="H446" i="1"/>
  <c r="B446" i="1"/>
  <c r="B447" i="1" s="1"/>
  <c r="R445" i="1"/>
  <c r="M445" i="1"/>
  <c r="H445" i="1"/>
  <c r="S440" i="1"/>
  <c r="O440" i="1"/>
  <c r="M440" i="1"/>
  <c r="L440" i="1"/>
  <c r="K440" i="1"/>
  <c r="J440" i="1"/>
  <c r="I440" i="1"/>
  <c r="F440" i="1"/>
  <c r="R438" i="1"/>
  <c r="N438" i="1"/>
  <c r="H438" i="1"/>
  <c r="P437" i="1"/>
  <c r="N437" i="1"/>
  <c r="H437" i="1"/>
  <c r="B437" i="1"/>
  <c r="B438" i="1" s="1"/>
  <c r="B440" i="1" s="1"/>
  <c r="R436" i="1"/>
  <c r="N436" i="1"/>
  <c r="H436" i="1"/>
  <c r="S431" i="1"/>
  <c r="O431" i="1"/>
  <c r="M431" i="1"/>
  <c r="L431" i="1"/>
  <c r="K431" i="1"/>
  <c r="J431" i="1"/>
  <c r="I431" i="1"/>
  <c r="F431" i="1"/>
  <c r="R429" i="1"/>
  <c r="N429" i="1"/>
  <c r="H429" i="1"/>
  <c r="R428" i="1"/>
  <c r="N428" i="1"/>
  <c r="H428" i="1"/>
  <c r="B428" i="1"/>
  <c r="B429" i="1" s="1"/>
  <c r="R427" i="1"/>
  <c r="N427" i="1"/>
  <c r="H427" i="1"/>
  <c r="R423" i="1"/>
  <c r="N423" i="1"/>
  <c r="H423" i="1"/>
  <c r="R422" i="1"/>
  <c r="N422" i="1"/>
  <c r="H422" i="1"/>
  <c r="R421" i="1"/>
  <c r="N421" i="1"/>
  <c r="H421" i="1"/>
  <c r="R420" i="1"/>
  <c r="N420" i="1"/>
  <c r="H420" i="1"/>
  <c r="R419" i="1"/>
  <c r="N419" i="1"/>
  <c r="H419" i="1"/>
  <c r="R418" i="1"/>
  <c r="N418" i="1"/>
  <c r="H418" i="1"/>
  <c r="R417" i="1"/>
  <c r="N417" i="1"/>
  <c r="H417" i="1"/>
  <c r="R416" i="1"/>
  <c r="N416" i="1"/>
  <c r="H416" i="1"/>
  <c r="R415" i="1"/>
  <c r="N415" i="1"/>
  <c r="H415" i="1"/>
  <c r="P414" i="1"/>
  <c r="R414" i="1" s="1"/>
  <c r="N414" i="1"/>
  <c r="H414" i="1"/>
  <c r="R413" i="1"/>
  <c r="N413" i="1"/>
  <c r="H413" i="1"/>
  <c r="R412" i="1"/>
  <c r="N412" i="1"/>
  <c r="H412" i="1"/>
  <c r="R411" i="1"/>
  <c r="N411" i="1"/>
  <c r="H411" i="1"/>
  <c r="R410" i="1"/>
  <c r="N410" i="1"/>
  <c r="H410" i="1"/>
  <c r="R409" i="1"/>
  <c r="N409" i="1"/>
  <c r="H409" i="1"/>
  <c r="P408" i="1"/>
  <c r="N408" i="1"/>
  <c r="H408" i="1"/>
  <c r="P407" i="1"/>
  <c r="R407" i="1" s="1"/>
  <c r="N407" i="1"/>
  <c r="H407" i="1"/>
  <c r="B407" i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2" i="1" s="1"/>
  <c r="B423" i="1" s="1"/>
  <c r="R406" i="1"/>
  <c r="N406" i="1"/>
  <c r="H406" i="1"/>
  <c r="S401" i="1"/>
  <c r="O401" i="1"/>
  <c r="M401" i="1"/>
  <c r="L401" i="1"/>
  <c r="K401" i="1"/>
  <c r="F401" i="1"/>
  <c r="R398" i="1"/>
  <c r="N398" i="1"/>
  <c r="H398" i="1"/>
  <c r="R397" i="1"/>
  <c r="N397" i="1"/>
  <c r="H397" i="1"/>
  <c r="R396" i="1"/>
  <c r="N396" i="1"/>
  <c r="H396" i="1"/>
  <c r="R393" i="1"/>
  <c r="N393" i="1"/>
  <c r="H393" i="1"/>
  <c r="R392" i="1"/>
  <c r="N392" i="1"/>
  <c r="I392" i="1"/>
  <c r="I401" i="1" s="1"/>
  <c r="H392" i="1"/>
  <c r="R391" i="1"/>
  <c r="N391" i="1"/>
  <c r="H391" i="1"/>
  <c r="R390" i="1"/>
  <c r="N390" i="1"/>
  <c r="H390" i="1"/>
  <c r="R389" i="1"/>
  <c r="N389" i="1"/>
  <c r="H389" i="1"/>
  <c r="R388" i="1"/>
  <c r="N388" i="1"/>
  <c r="H388" i="1"/>
  <c r="R387" i="1"/>
  <c r="N387" i="1"/>
  <c r="H387" i="1"/>
  <c r="R386" i="1"/>
  <c r="N386" i="1"/>
  <c r="H386" i="1"/>
  <c r="R385" i="1"/>
  <c r="N385" i="1"/>
  <c r="H385" i="1"/>
  <c r="R384" i="1"/>
  <c r="N384" i="1"/>
  <c r="H384" i="1"/>
  <c r="P383" i="1"/>
  <c r="N383" i="1"/>
  <c r="H383" i="1"/>
  <c r="R382" i="1"/>
  <c r="N382" i="1"/>
  <c r="H382" i="1"/>
  <c r="R381" i="1"/>
  <c r="N381" i="1"/>
  <c r="H381" i="1"/>
  <c r="R380" i="1"/>
  <c r="N380" i="1"/>
  <c r="J380" i="1"/>
  <c r="H380" i="1"/>
  <c r="R379" i="1"/>
  <c r="N379" i="1"/>
  <c r="H379" i="1"/>
  <c r="R378" i="1"/>
  <c r="N378" i="1"/>
  <c r="H378" i="1"/>
  <c r="R377" i="1"/>
  <c r="N377" i="1"/>
  <c r="H377" i="1"/>
  <c r="P376" i="1"/>
  <c r="R376" i="1" s="1"/>
  <c r="N376" i="1"/>
  <c r="H376" i="1"/>
  <c r="R375" i="1"/>
  <c r="N375" i="1"/>
  <c r="H375" i="1"/>
  <c r="R374" i="1"/>
  <c r="N374" i="1"/>
  <c r="H374" i="1"/>
  <c r="R373" i="1"/>
  <c r="N373" i="1"/>
  <c r="H373" i="1"/>
  <c r="R372" i="1"/>
  <c r="N372" i="1"/>
  <c r="H372" i="1"/>
  <c r="R371" i="1"/>
  <c r="N371" i="1"/>
  <c r="H371" i="1"/>
  <c r="R370" i="1"/>
  <c r="N370" i="1"/>
  <c r="H370" i="1"/>
  <c r="R369" i="1"/>
  <c r="N369" i="1"/>
  <c r="H369" i="1"/>
  <c r="B369" i="1"/>
  <c r="B370" i="1" s="1"/>
  <c r="B371" i="1" s="1"/>
  <c r="B372" i="1" s="1"/>
  <c r="B373" i="1" s="1"/>
  <c r="B374" i="1" s="1"/>
  <c r="B375" i="1" s="1"/>
  <c r="B376" i="1" s="1"/>
  <c r="B377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6" i="1" s="1"/>
  <c r="B397" i="1" s="1"/>
  <c r="B398" i="1" s="1"/>
  <c r="P368" i="1"/>
  <c r="R368" i="1" s="1"/>
  <c r="N368" i="1"/>
  <c r="H368" i="1"/>
  <c r="S363" i="1"/>
  <c r="O363" i="1"/>
  <c r="M363" i="1"/>
  <c r="L363" i="1"/>
  <c r="K363" i="1"/>
  <c r="J363" i="1"/>
  <c r="I363" i="1"/>
  <c r="F363" i="1"/>
  <c r="R362" i="1"/>
  <c r="N362" i="1"/>
  <c r="H362" i="1"/>
  <c r="B362" i="1"/>
  <c r="B363" i="1" s="1"/>
  <c r="R361" i="1"/>
  <c r="N361" i="1"/>
  <c r="H361" i="1"/>
  <c r="S355" i="1"/>
  <c r="O355" i="1"/>
  <c r="M355" i="1"/>
  <c r="L355" i="1"/>
  <c r="K355" i="1"/>
  <c r="I355" i="1"/>
  <c r="F355" i="1"/>
  <c r="R353" i="1"/>
  <c r="N353" i="1"/>
  <c r="H353" i="1"/>
  <c r="R352" i="1"/>
  <c r="N352" i="1"/>
  <c r="H352" i="1"/>
  <c r="B352" i="1"/>
  <c r="B353" i="1" s="1"/>
  <c r="R351" i="1"/>
  <c r="N351" i="1"/>
  <c r="H351" i="1"/>
  <c r="R348" i="1"/>
  <c r="N348" i="1"/>
  <c r="H348" i="1"/>
  <c r="R347" i="1"/>
  <c r="N347" i="1"/>
  <c r="H347" i="1"/>
  <c r="R346" i="1"/>
  <c r="N346" i="1"/>
  <c r="H346" i="1"/>
  <c r="R345" i="1"/>
  <c r="N345" i="1"/>
  <c r="H345" i="1"/>
  <c r="R344" i="1"/>
  <c r="N344" i="1"/>
  <c r="H344" i="1"/>
  <c r="R343" i="1"/>
  <c r="N343" i="1"/>
  <c r="J343" i="1"/>
  <c r="H343" i="1"/>
  <c r="B343" i="1"/>
  <c r="B344" i="1" s="1"/>
  <c r="B345" i="1" s="1"/>
  <c r="B346" i="1" s="1"/>
  <c r="B347" i="1" s="1"/>
  <c r="B348" i="1" s="1"/>
  <c r="R342" i="1"/>
  <c r="N342" i="1"/>
  <c r="H342" i="1"/>
  <c r="S337" i="1"/>
  <c r="O337" i="1"/>
  <c r="M337" i="1"/>
  <c r="L337" i="1"/>
  <c r="K337" i="1"/>
  <c r="J337" i="1"/>
  <c r="I337" i="1"/>
  <c r="F337" i="1"/>
  <c r="B337" i="1"/>
  <c r="R335" i="1"/>
  <c r="N335" i="1"/>
  <c r="N337" i="1" s="1"/>
  <c r="H335" i="1"/>
  <c r="S330" i="1"/>
  <c r="O330" i="1"/>
  <c r="M330" i="1"/>
  <c r="L330" i="1"/>
  <c r="K330" i="1"/>
  <c r="I330" i="1"/>
  <c r="F330" i="1"/>
  <c r="R328" i="1"/>
  <c r="N328" i="1"/>
  <c r="H328" i="1"/>
  <c r="R327" i="1"/>
  <c r="N327" i="1"/>
  <c r="H327" i="1"/>
  <c r="R326" i="1"/>
  <c r="N326" i="1"/>
  <c r="H326" i="1"/>
  <c r="R325" i="1"/>
  <c r="N325" i="1"/>
  <c r="H325" i="1"/>
  <c r="R324" i="1"/>
  <c r="N324" i="1"/>
  <c r="H324" i="1"/>
  <c r="R323" i="1"/>
  <c r="N323" i="1"/>
  <c r="H323" i="1"/>
  <c r="R322" i="1"/>
  <c r="N322" i="1"/>
  <c r="H322" i="1"/>
  <c r="R321" i="1"/>
  <c r="N321" i="1"/>
  <c r="H321" i="1"/>
  <c r="R320" i="1"/>
  <c r="N320" i="1"/>
  <c r="H320" i="1"/>
  <c r="R319" i="1"/>
  <c r="N319" i="1"/>
  <c r="H319" i="1"/>
  <c r="R318" i="1"/>
  <c r="N318" i="1"/>
  <c r="H318" i="1"/>
  <c r="R317" i="1"/>
  <c r="N317" i="1"/>
  <c r="H317" i="1"/>
  <c r="R316" i="1"/>
  <c r="N316" i="1"/>
  <c r="H316" i="1"/>
  <c r="R315" i="1"/>
  <c r="N315" i="1"/>
  <c r="H315" i="1"/>
  <c r="B315" i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R314" i="1"/>
  <c r="N314" i="1"/>
  <c r="H314" i="1"/>
  <c r="P311" i="1"/>
  <c r="R311" i="1" s="1"/>
  <c r="N311" i="1"/>
  <c r="J311" i="1"/>
  <c r="J330" i="1" s="1"/>
  <c r="H311" i="1"/>
  <c r="R310" i="1"/>
  <c r="N310" i="1"/>
  <c r="H310" i="1"/>
  <c r="R309" i="1"/>
  <c r="N309" i="1"/>
  <c r="H309" i="1"/>
  <c r="R308" i="1"/>
  <c r="N308" i="1"/>
  <c r="H308" i="1"/>
  <c r="R307" i="1"/>
  <c r="N307" i="1"/>
  <c r="H307" i="1"/>
  <c r="R306" i="1"/>
  <c r="N306" i="1"/>
  <c r="H306" i="1"/>
  <c r="P305" i="1"/>
  <c r="R305" i="1" s="1"/>
  <c r="N305" i="1"/>
  <c r="H305" i="1"/>
  <c r="R304" i="1"/>
  <c r="N304" i="1"/>
  <c r="H304" i="1"/>
  <c r="R303" i="1"/>
  <c r="N303" i="1"/>
  <c r="H303" i="1"/>
  <c r="R302" i="1"/>
  <c r="N302" i="1"/>
  <c r="H302" i="1"/>
  <c r="R301" i="1"/>
  <c r="N301" i="1"/>
  <c r="H301" i="1"/>
  <c r="R300" i="1"/>
  <c r="N300" i="1"/>
  <c r="H300" i="1"/>
  <c r="R299" i="1"/>
  <c r="N299" i="1"/>
  <c r="H299" i="1"/>
  <c r="R298" i="1"/>
  <c r="P298" i="1"/>
  <c r="N298" i="1"/>
  <c r="H298" i="1"/>
  <c r="R297" i="1"/>
  <c r="N297" i="1"/>
  <c r="H297" i="1"/>
  <c r="R296" i="1"/>
  <c r="N296" i="1"/>
  <c r="H296" i="1"/>
  <c r="R295" i="1"/>
  <c r="N295" i="1"/>
  <c r="H295" i="1"/>
  <c r="R294" i="1"/>
  <c r="N294" i="1"/>
  <c r="H294" i="1"/>
  <c r="P293" i="1"/>
  <c r="R293" i="1" s="1"/>
  <c r="N293" i="1"/>
  <c r="H293" i="1"/>
  <c r="R292" i="1"/>
  <c r="N292" i="1"/>
  <c r="H292" i="1"/>
  <c r="R291" i="1"/>
  <c r="N291" i="1"/>
  <c r="H291" i="1"/>
  <c r="R290" i="1"/>
  <c r="N290" i="1"/>
  <c r="H290" i="1"/>
  <c r="R289" i="1"/>
  <c r="N289" i="1"/>
  <c r="H289" i="1"/>
  <c r="Q288" i="1"/>
  <c r="P288" i="1"/>
  <c r="N288" i="1"/>
  <c r="H288" i="1"/>
  <c r="P287" i="1"/>
  <c r="R287" i="1" s="1"/>
  <c r="N287" i="1"/>
  <c r="H287" i="1"/>
  <c r="P286" i="1"/>
  <c r="R286" i="1" s="1"/>
  <c r="N286" i="1"/>
  <c r="H286" i="1"/>
  <c r="R285" i="1"/>
  <c r="N285" i="1"/>
  <c r="H285" i="1"/>
  <c r="R284" i="1"/>
  <c r="N284" i="1"/>
  <c r="H284" i="1"/>
  <c r="R283" i="1"/>
  <c r="N283" i="1"/>
  <c r="H283" i="1"/>
  <c r="R282" i="1"/>
  <c r="N282" i="1"/>
  <c r="H282" i="1"/>
  <c r="R281" i="1"/>
  <c r="N281" i="1"/>
  <c r="H281" i="1"/>
  <c r="R280" i="1"/>
  <c r="N280" i="1"/>
  <c r="H280" i="1"/>
  <c r="R279" i="1"/>
  <c r="N279" i="1"/>
  <c r="H279" i="1"/>
  <c r="R278" i="1"/>
  <c r="N278" i="1"/>
  <c r="H278" i="1"/>
  <c r="B278" i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R277" i="1"/>
  <c r="N277" i="1"/>
  <c r="H277" i="1"/>
  <c r="S272" i="1"/>
  <c r="O272" i="1"/>
  <c r="M272" i="1"/>
  <c r="L272" i="1"/>
  <c r="K272" i="1"/>
  <c r="J272" i="1"/>
  <c r="I272" i="1"/>
  <c r="F272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B267" i="1"/>
  <c r="B268" i="1" s="1"/>
  <c r="B269" i="1" s="1"/>
  <c r="B270" i="1" s="1"/>
  <c r="R266" i="1"/>
  <c r="N266" i="1"/>
  <c r="H266" i="1"/>
  <c r="R263" i="1"/>
  <c r="N263" i="1"/>
  <c r="H263" i="1"/>
  <c r="R262" i="1"/>
  <c r="N262" i="1"/>
  <c r="H262" i="1"/>
  <c r="R261" i="1"/>
  <c r="N261" i="1"/>
  <c r="H261" i="1"/>
  <c r="P260" i="1"/>
  <c r="R260" i="1" s="1"/>
  <c r="N260" i="1"/>
  <c r="H260" i="1"/>
  <c r="B260" i="1"/>
  <c r="R259" i="1"/>
  <c r="N259" i="1"/>
  <c r="H259" i="1"/>
  <c r="S254" i="1"/>
  <c r="O254" i="1"/>
  <c r="M254" i="1"/>
  <c r="L254" i="1"/>
  <c r="I254" i="1"/>
  <c r="F254" i="1"/>
  <c r="R252" i="1"/>
  <c r="N252" i="1"/>
  <c r="H252" i="1"/>
  <c r="R251" i="1"/>
  <c r="N251" i="1"/>
  <c r="H251" i="1"/>
  <c r="R250" i="1"/>
  <c r="N250" i="1"/>
  <c r="H250" i="1"/>
  <c r="R249" i="1"/>
  <c r="N249" i="1"/>
  <c r="H249" i="1"/>
  <c r="R248" i="1"/>
  <c r="N248" i="1"/>
  <c r="H248" i="1"/>
  <c r="R247" i="1"/>
  <c r="N247" i="1"/>
  <c r="H247" i="1"/>
  <c r="R246" i="1"/>
  <c r="N246" i="1"/>
  <c r="H246" i="1"/>
  <c r="R245" i="1"/>
  <c r="N245" i="1"/>
  <c r="H245" i="1"/>
  <c r="R244" i="1"/>
  <c r="N244" i="1"/>
  <c r="H244" i="1"/>
  <c r="R243" i="1"/>
  <c r="N243" i="1"/>
  <c r="H243" i="1"/>
  <c r="R242" i="1"/>
  <c r="N242" i="1"/>
  <c r="H242" i="1"/>
  <c r="R241" i="1"/>
  <c r="N241" i="1"/>
  <c r="H241" i="1"/>
  <c r="R240" i="1"/>
  <c r="N240" i="1"/>
  <c r="H240" i="1"/>
  <c r="R239" i="1"/>
  <c r="N239" i="1"/>
  <c r="H239" i="1"/>
  <c r="R238" i="1"/>
  <c r="N238" i="1"/>
  <c r="H238" i="1"/>
  <c r="R237" i="1"/>
  <c r="N237" i="1"/>
  <c r="J237" i="1"/>
  <c r="H237" i="1"/>
  <c r="R236" i="1"/>
  <c r="N236" i="1"/>
  <c r="H236" i="1"/>
  <c r="R235" i="1"/>
  <c r="N235" i="1"/>
  <c r="H235" i="1"/>
  <c r="R234" i="1"/>
  <c r="N234" i="1"/>
  <c r="H234" i="1"/>
  <c r="R233" i="1"/>
  <c r="N233" i="1"/>
  <c r="H233" i="1"/>
  <c r="R232" i="1"/>
  <c r="N232" i="1"/>
  <c r="H232" i="1"/>
  <c r="R231" i="1"/>
  <c r="N231" i="1"/>
  <c r="H231" i="1"/>
  <c r="R230" i="1"/>
  <c r="N230" i="1"/>
  <c r="H230" i="1"/>
  <c r="R229" i="1"/>
  <c r="N229" i="1"/>
  <c r="H229" i="1"/>
  <c r="R228" i="1"/>
  <c r="N228" i="1"/>
  <c r="H228" i="1"/>
  <c r="R227" i="1"/>
  <c r="N227" i="1"/>
  <c r="H227" i="1"/>
  <c r="R226" i="1"/>
  <c r="N226" i="1"/>
  <c r="H226" i="1"/>
  <c r="B226" i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R225" i="1"/>
  <c r="N225" i="1"/>
  <c r="H225" i="1"/>
  <c r="R222" i="1"/>
  <c r="N222" i="1"/>
  <c r="H222" i="1"/>
  <c r="R221" i="1"/>
  <c r="N221" i="1"/>
  <c r="H221" i="1"/>
  <c r="Q220" i="1"/>
  <c r="P220" i="1"/>
  <c r="N220" i="1"/>
  <c r="H220" i="1"/>
  <c r="R219" i="1"/>
  <c r="N219" i="1"/>
  <c r="H219" i="1"/>
  <c r="P218" i="1"/>
  <c r="R218" i="1" s="1"/>
  <c r="N218" i="1"/>
  <c r="H218" i="1"/>
  <c r="R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K211" i="1"/>
  <c r="H211" i="1"/>
  <c r="R210" i="1"/>
  <c r="N210" i="1"/>
  <c r="H210" i="1"/>
  <c r="P209" i="1"/>
  <c r="R209" i="1" s="1"/>
  <c r="N209" i="1"/>
  <c r="H209" i="1"/>
  <c r="R208" i="1"/>
  <c r="N208" i="1"/>
  <c r="H208" i="1"/>
  <c r="R207" i="1"/>
  <c r="N207" i="1"/>
  <c r="H207" i="1"/>
  <c r="R206" i="1"/>
  <c r="N206" i="1"/>
  <c r="H206" i="1"/>
  <c r="R205" i="1"/>
  <c r="N205" i="1"/>
  <c r="H205" i="1"/>
  <c r="R204" i="1"/>
  <c r="N204" i="1"/>
  <c r="H204" i="1"/>
  <c r="R203" i="1"/>
  <c r="N203" i="1"/>
  <c r="H203" i="1"/>
  <c r="R202" i="1"/>
  <c r="N202" i="1"/>
  <c r="H202" i="1"/>
  <c r="Q201" i="1"/>
  <c r="P201" i="1"/>
  <c r="N201" i="1"/>
  <c r="H201" i="1"/>
  <c r="R200" i="1"/>
  <c r="N200" i="1"/>
  <c r="H200" i="1"/>
  <c r="R199" i="1"/>
  <c r="N199" i="1"/>
  <c r="H199" i="1"/>
  <c r="R198" i="1"/>
  <c r="N198" i="1"/>
  <c r="H198" i="1"/>
  <c r="P197" i="1"/>
  <c r="R197" i="1" s="1"/>
  <c r="N197" i="1"/>
  <c r="H197" i="1"/>
  <c r="R196" i="1"/>
  <c r="N196" i="1"/>
  <c r="H196" i="1"/>
  <c r="R195" i="1"/>
  <c r="N195" i="1"/>
  <c r="H195" i="1"/>
  <c r="R194" i="1"/>
  <c r="N194" i="1"/>
  <c r="J194" i="1"/>
  <c r="J254" i="1" s="1"/>
  <c r="H194" i="1"/>
  <c r="R193" i="1"/>
  <c r="N193" i="1"/>
  <c r="H193" i="1"/>
  <c r="R192" i="1"/>
  <c r="N192" i="1"/>
  <c r="H192" i="1"/>
  <c r="R191" i="1"/>
  <c r="N191" i="1"/>
  <c r="H191" i="1"/>
  <c r="R190" i="1"/>
  <c r="N190" i="1"/>
  <c r="H190" i="1"/>
  <c r="R189" i="1"/>
  <c r="N189" i="1"/>
  <c r="H189" i="1"/>
  <c r="R188" i="1"/>
  <c r="N188" i="1"/>
  <c r="H188" i="1"/>
  <c r="B188" i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R187" i="1"/>
  <c r="N187" i="1"/>
  <c r="H187" i="1"/>
  <c r="S181" i="1"/>
  <c r="O181" i="1"/>
  <c r="M181" i="1"/>
  <c r="L181" i="1"/>
  <c r="J181" i="1"/>
  <c r="I181" i="1"/>
  <c r="F181" i="1"/>
  <c r="B181" i="1"/>
  <c r="P179" i="1"/>
  <c r="R179" i="1" s="1"/>
  <c r="N179" i="1"/>
  <c r="N181" i="1" s="1"/>
  <c r="K179" i="1"/>
  <c r="H179" i="1"/>
  <c r="S174" i="1"/>
  <c r="O174" i="1"/>
  <c r="M174" i="1"/>
  <c r="L174" i="1"/>
  <c r="J174" i="1"/>
  <c r="F174" i="1"/>
  <c r="R172" i="1"/>
  <c r="N172" i="1"/>
  <c r="H172" i="1"/>
  <c r="R171" i="1"/>
  <c r="N171" i="1"/>
  <c r="H171" i="1"/>
  <c r="R170" i="1"/>
  <c r="N170" i="1"/>
  <c r="H170" i="1"/>
  <c r="R169" i="1"/>
  <c r="N169" i="1"/>
  <c r="H169" i="1"/>
  <c r="R168" i="1"/>
  <c r="N168" i="1"/>
  <c r="H168" i="1"/>
  <c r="B168" i="1"/>
  <c r="B169" i="1" s="1"/>
  <c r="B170" i="1" s="1"/>
  <c r="B171" i="1" s="1"/>
  <c r="B172" i="1" s="1"/>
  <c r="R167" i="1"/>
  <c r="N167" i="1"/>
  <c r="H167" i="1"/>
  <c r="R164" i="1"/>
  <c r="N164" i="1"/>
  <c r="H164" i="1"/>
  <c r="P163" i="1"/>
  <c r="R163" i="1" s="1"/>
  <c r="N163" i="1"/>
  <c r="H163" i="1"/>
  <c r="R162" i="1"/>
  <c r="N162" i="1"/>
  <c r="H162" i="1"/>
  <c r="R161" i="1"/>
  <c r="N161" i="1"/>
  <c r="H161" i="1"/>
  <c r="R160" i="1"/>
  <c r="N160" i="1"/>
  <c r="H160" i="1"/>
  <c r="R159" i="1"/>
  <c r="N159" i="1"/>
  <c r="H159" i="1"/>
  <c r="R158" i="1"/>
  <c r="N158" i="1"/>
  <c r="H158" i="1"/>
  <c r="P157" i="1"/>
  <c r="R157" i="1" s="1"/>
  <c r="N157" i="1"/>
  <c r="H157" i="1"/>
  <c r="R156" i="1"/>
  <c r="N156" i="1"/>
  <c r="K156" i="1"/>
  <c r="H156" i="1"/>
  <c r="R155" i="1"/>
  <c r="N155" i="1"/>
  <c r="H155" i="1"/>
  <c r="P154" i="1"/>
  <c r="R154" i="1" s="1"/>
  <c r="N154" i="1"/>
  <c r="H154" i="1"/>
  <c r="R153" i="1"/>
  <c r="N153" i="1"/>
  <c r="H153" i="1"/>
  <c r="Q152" i="1"/>
  <c r="R152" i="1" s="1"/>
  <c r="N152" i="1"/>
  <c r="H152" i="1"/>
  <c r="P151" i="1"/>
  <c r="N151" i="1"/>
  <c r="H151" i="1"/>
  <c r="P150" i="1"/>
  <c r="R150" i="1" s="1"/>
  <c r="N150" i="1"/>
  <c r="K150" i="1"/>
  <c r="K174" i="1" s="1"/>
  <c r="I150" i="1"/>
  <c r="I174" i="1" s="1"/>
  <c r="H150" i="1"/>
  <c r="R149" i="1"/>
  <c r="N149" i="1"/>
  <c r="H149" i="1"/>
  <c r="R148" i="1"/>
  <c r="N148" i="1"/>
  <c r="H148" i="1"/>
  <c r="P147" i="1"/>
  <c r="N147" i="1"/>
  <c r="H147" i="1"/>
  <c r="R146" i="1"/>
  <c r="N146" i="1"/>
  <c r="H146" i="1"/>
  <c r="R145" i="1"/>
  <c r="N145" i="1"/>
  <c r="H145" i="1"/>
  <c r="R144" i="1"/>
  <c r="P144" i="1"/>
  <c r="N144" i="1"/>
  <c r="H144" i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R143" i="1"/>
  <c r="N143" i="1"/>
  <c r="H143" i="1"/>
  <c r="S138" i="1"/>
  <c r="O138" i="1"/>
  <c r="M138" i="1"/>
  <c r="L138" i="1"/>
  <c r="J138" i="1"/>
  <c r="I138" i="1"/>
  <c r="F138" i="1"/>
  <c r="P136" i="1"/>
  <c r="R136" i="1" s="1"/>
  <c r="N136" i="1"/>
  <c r="K136" i="1"/>
  <c r="H136" i="1"/>
  <c r="R135" i="1"/>
  <c r="N135" i="1"/>
  <c r="K135" i="1"/>
  <c r="H135" i="1"/>
  <c r="R134" i="1"/>
  <c r="N134" i="1"/>
  <c r="H134" i="1"/>
  <c r="R133" i="1"/>
  <c r="N133" i="1"/>
  <c r="H133" i="1"/>
  <c r="P132" i="1"/>
  <c r="R132" i="1" s="1"/>
  <c r="N132" i="1"/>
  <c r="K132" i="1"/>
  <c r="H132" i="1"/>
  <c r="R131" i="1"/>
  <c r="N131" i="1"/>
  <c r="K131" i="1"/>
  <c r="H131" i="1"/>
  <c r="R130" i="1"/>
  <c r="N130" i="1"/>
  <c r="H130" i="1"/>
  <c r="P129" i="1"/>
  <c r="R129" i="1" s="1"/>
  <c r="N129" i="1"/>
  <c r="H129" i="1"/>
  <c r="P128" i="1"/>
  <c r="R128" i="1" s="1"/>
  <c r="N128" i="1"/>
  <c r="K128" i="1"/>
  <c r="H128" i="1"/>
  <c r="R127" i="1"/>
  <c r="N127" i="1"/>
  <c r="H127" i="1"/>
  <c r="P126" i="1"/>
  <c r="R126" i="1" s="1"/>
  <c r="N126" i="1"/>
  <c r="K126" i="1"/>
  <c r="H126" i="1"/>
  <c r="P125" i="1"/>
  <c r="R125" i="1" s="1"/>
  <c r="N125" i="1"/>
  <c r="K125" i="1"/>
  <c r="H125" i="1"/>
  <c r="P124" i="1"/>
  <c r="R124" i="1" s="1"/>
  <c r="N124" i="1"/>
  <c r="K124" i="1"/>
  <c r="H124" i="1"/>
  <c r="R123" i="1"/>
  <c r="N123" i="1"/>
  <c r="K123" i="1"/>
  <c r="H123" i="1"/>
  <c r="R122" i="1"/>
  <c r="N122" i="1"/>
  <c r="H122" i="1"/>
  <c r="R121" i="1"/>
  <c r="N121" i="1"/>
  <c r="H121" i="1"/>
  <c r="R120" i="1"/>
  <c r="N120" i="1"/>
  <c r="K120" i="1"/>
  <c r="H120" i="1"/>
  <c r="P119" i="1"/>
  <c r="R119" i="1" s="1"/>
  <c r="N119" i="1"/>
  <c r="K119" i="1"/>
  <c r="H119" i="1"/>
  <c r="R118" i="1"/>
  <c r="N118" i="1"/>
  <c r="K118" i="1"/>
  <c r="H118" i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P117" i="1"/>
  <c r="R117" i="1" s="1"/>
  <c r="N117" i="1"/>
  <c r="K117" i="1"/>
  <c r="H117" i="1"/>
  <c r="S112" i="1"/>
  <c r="O112" i="1"/>
  <c r="M112" i="1"/>
  <c r="L112" i="1"/>
  <c r="I112" i="1"/>
  <c r="F112" i="1"/>
  <c r="R110" i="1"/>
  <c r="N110" i="1"/>
  <c r="H110" i="1"/>
  <c r="R109" i="1"/>
  <c r="N109" i="1"/>
  <c r="H109" i="1"/>
  <c r="R108" i="1"/>
  <c r="N108" i="1"/>
  <c r="H108" i="1"/>
  <c r="R107" i="1"/>
  <c r="N107" i="1"/>
  <c r="K107" i="1"/>
  <c r="J107" i="1"/>
  <c r="H107" i="1"/>
  <c r="R106" i="1"/>
  <c r="N106" i="1"/>
  <c r="K106" i="1"/>
  <c r="H106" i="1"/>
  <c r="B106" i="1"/>
  <c r="B107" i="1" s="1"/>
  <c r="B108" i="1" s="1"/>
  <c r="B109" i="1" s="1"/>
  <c r="B110" i="1" s="1"/>
  <c r="R105" i="1"/>
  <c r="N105" i="1"/>
  <c r="H105" i="1"/>
  <c r="R102" i="1"/>
  <c r="N102" i="1"/>
  <c r="H102" i="1"/>
  <c r="R101" i="1"/>
  <c r="N101" i="1"/>
  <c r="H101" i="1"/>
  <c r="R100" i="1"/>
  <c r="N100" i="1"/>
  <c r="K100" i="1"/>
  <c r="H100" i="1"/>
  <c r="Q99" i="1"/>
  <c r="N99" i="1"/>
  <c r="K99" i="1"/>
  <c r="H99" i="1"/>
  <c r="P98" i="1"/>
  <c r="N98" i="1"/>
  <c r="K98" i="1"/>
  <c r="H98" i="1"/>
  <c r="R97" i="1"/>
  <c r="N97" i="1"/>
  <c r="H97" i="1"/>
  <c r="P96" i="1"/>
  <c r="R96" i="1" s="1"/>
  <c r="N96" i="1"/>
  <c r="H96" i="1"/>
  <c r="R95" i="1"/>
  <c r="N95" i="1"/>
  <c r="H95" i="1"/>
  <c r="R94" i="1"/>
  <c r="N94" i="1"/>
  <c r="K94" i="1"/>
  <c r="H94" i="1"/>
  <c r="R93" i="1"/>
  <c r="N93" i="1"/>
  <c r="H93" i="1"/>
  <c r="R92" i="1"/>
  <c r="N92" i="1"/>
  <c r="H92" i="1"/>
  <c r="R91" i="1"/>
  <c r="N91" i="1"/>
  <c r="K91" i="1"/>
  <c r="H91" i="1"/>
  <c r="R90" i="1"/>
  <c r="N90" i="1"/>
  <c r="K90" i="1"/>
  <c r="J90" i="1"/>
  <c r="H90" i="1"/>
  <c r="R89" i="1"/>
  <c r="N89" i="1"/>
  <c r="H89" i="1"/>
  <c r="R88" i="1"/>
  <c r="N88" i="1"/>
  <c r="H88" i="1"/>
  <c r="R87" i="1"/>
  <c r="N87" i="1"/>
  <c r="H87" i="1"/>
  <c r="P86" i="1"/>
  <c r="N86" i="1"/>
  <c r="H86" i="1"/>
  <c r="P85" i="1"/>
  <c r="R85" i="1" s="1"/>
  <c r="N85" i="1"/>
  <c r="H85" i="1"/>
  <c r="R84" i="1"/>
  <c r="N84" i="1"/>
  <c r="K84" i="1"/>
  <c r="H84" i="1"/>
  <c r="R83" i="1"/>
  <c r="N83" i="1"/>
  <c r="H83" i="1"/>
  <c r="P82" i="1"/>
  <c r="R82" i="1" s="1"/>
  <c r="N82" i="1"/>
  <c r="H82" i="1"/>
  <c r="R81" i="1"/>
  <c r="N81" i="1"/>
  <c r="H81" i="1"/>
  <c r="R80" i="1"/>
  <c r="N80" i="1"/>
  <c r="H80" i="1"/>
  <c r="R79" i="1"/>
  <c r="N79" i="1"/>
  <c r="K79" i="1"/>
  <c r="H79" i="1"/>
  <c r="B79" i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R78" i="1"/>
  <c r="N78" i="1"/>
  <c r="H78" i="1"/>
  <c r="S73" i="1"/>
  <c r="O73" i="1"/>
  <c r="M73" i="1"/>
  <c r="L73" i="1"/>
  <c r="J73" i="1"/>
  <c r="I73" i="1"/>
  <c r="F73" i="1"/>
  <c r="R71" i="1"/>
  <c r="N71" i="1"/>
  <c r="K71" i="1"/>
  <c r="H71" i="1"/>
  <c r="R70" i="1"/>
  <c r="N70" i="1"/>
  <c r="H70" i="1"/>
  <c r="R69" i="1"/>
  <c r="N69" i="1"/>
  <c r="H69" i="1"/>
  <c r="B69" i="1"/>
  <c r="B70" i="1" s="1"/>
  <c r="B71" i="1" s="1"/>
  <c r="R68" i="1"/>
  <c r="N68" i="1"/>
  <c r="H68" i="1"/>
  <c r="R65" i="1"/>
  <c r="N65" i="1"/>
  <c r="H65" i="1"/>
  <c r="R64" i="1"/>
  <c r="N64" i="1"/>
  <c r="H64" i="1"/>
  <c r="P63" i="1"/>
  <c r="N63" i="1"/>
  <c r="H63" i="1"/>
  <c r="B63" i="1"/>
  <c r="B64" i="1" s="1"/>
  <c r="B65" i="1" s="1"/>
  <c r="R62" i="1"/>
  <c r="N62" i="1"/>
  <c r="H62" i="1"/>
  <c r="S57" i="1"/>
  <c r="O57" i="1"/>
  <c r="M57" i="1"/>
  <c r="L57" i="1"/>
  <c r="J57" i="1"/>
  <c r="F57" i="1"/>
  <c r="R55" i="1"/>
  <c r="N55" i="1"/>
  <c r="H55" i="1"/>
  <c r="B55" i="1"/>
  <c r="R54" i="1"/>
  <c r="N54" i="1"/>
  <c r="H54" i="1"/>
  <c r="R51" i="1"/>
  <c r="N51" i="1"/>
  <c r="H51" i="1"/>
  <c r="R50" i="1"/>
  <c r="N50" i="1"/>
  <c r="H50" i="1"/>
  <c r="R49" i="1"/>
  <c r="N49" i="1"/>
  <c r="K49" i="1"/>
  <c r="H49" i="1"/>
  <c r="R48" i="1"/>
  <c r="N48" i="1"/>
  <c r="K48" i="1"/>
  <c r="H48" i="1"/>
  <c r="R47" i="1"/>
  <c r="N47" i="1"/>
  <c r="K47" i="1"/>
  <c r="H47" i="1"/>
  <c r="R46" i="1"/>
  <c r="N46" i="1"/>
  <c r="K46" i="1"/>
  <c r="H46" i="1"/>
  <c r="R45" i="1"/>
  <c r="N45" i="1"/>
  <c r="H45" i="1"/>
  <c r="R44" i="1"/>
  <c r="N44" i="1"/>
  <c r="H44" i="1"/>
  <c r="R43" i="1"/>
  <c r="N43" i="1"/>
  <c r="H43" i="1"/>
  <c r="R42" i="1"/>
  <c r="N42" i="1"/>
  <c r="K42" i="1"/>
  <c r="H42" i="1"/>
  <c r="R41" i="1"/>
  <c r="N41" i="1"/>
  <c r="K41" i="1"/>
  <c r="H41" i="1"/>
  <c r="R40" i="1"/>
  <c r="N40" i="1"/>
  <c r="I40" i="1"/>
  <c r="H40" i="1"/>
  <c r="R39" i="1"/>
  <c r="N39" i="1"/>
  <c r="K39" i="1"/>
  <c r="I39" i="1"/>
  <c r="H39" i="1"/>
  <c r="R38" i="1"/>
  <c r="N38" i="1"/>
  <c r="H38" i="1"/>
  <c r="R37" i="1"/>
  <c r="N37" i="1"/>
  <c r="K37" i="1"/>
  <c r="H37" i="1"/>
  <c r="R36" i="1"/>
  <c r="N36" i="1"/>
  <c r="H36" i="1"/>
  <c r="R35" i="1"/>
  <c r="N35" i="1"/>
  <c r="H35" i="1"/>
  <c r="R34" i="1"/>
  <c r="N34" i="1"/>
  <c r="H34" i="1"/>
  <c r="R33" i="1"/>
  <c r="N33" i="1"/>
  <c r="K33" i="1"/>
  <c r="I33" i="1"/>
  <c r="H33" i="1"/>
  <c r="R32" i="1"/>
  <c r="N32" i="1"/>
  <c r="H32" i="1"/>
  <c r="R31" i="1"/>
  <c r="N31" i="1"/>
  <c r="H31" i="1"/>
  <c r="R30" i="1"/>
  <c r="N30" i="1"/>
  <c r="H30" i="1"/>
  <c r="R29" i="1"/>
  <c r="N29" i="1"/>
  <c r="H29" i="1"/>
  <c r="R28" i="1"/>
  <c r="N28" i="1"/>
  <c r="K28" i="1"/>
  <c r="I28" i="1"/>
  <c r="H28" i="1"/>
  <c r="R27" i="1"/>
  <c r="N27" i="1"/>
  <c r="H27" i="1"/>
  <c r="R26" i="1"/>
  <c r="N26" i="1"/>
  <c r="I26" i="1"/>
  <c r="H26" i="1"/>
  <c r="R25" i="1"/>
  <c r="N25" i="1"/>
  <c r="H25" i="1"/>
  <c r="B25" i="1"/>
  <c r="R24" i="1"/>
  <c r="N24" i="1"/>
  <c r="K24" i="1"/>
  <c r="H24" i="1"/>
  <c r="S19" i="1"/>
  <c r="O19" i="1"/>
  <c r="M19" i="1"/>
  <c r="L19" i="1"/>
  <c r="K19" i="1"/>
  <c r="J19" i="1"/>
  <c r="I19" i="1"/>
  <c r="F19" i="1"/>
  <c r="R17" i="1"/>
  <c r="N17" i="1"/>
  <c r="H17" i="1"/>
  <c r="R16" i="1"/>
  <c r="N16" i="1"/>
  <c r="H16" i="1"/>
  <c r="B16" i="1"/>
  <c r="B17" i="1" s="1"/>
  <c r="R15" i="1"/>
  <c r="N15" i="1"/>
  <c r="H15" i="1"/>
  <c r="R11" i="1"/>
  <c r="N11" i="1"/>
  <c r="H11" i="1"/>
  <c r="R10" i="1"/>
  <c r="N10" i="1"/>
  <c r="H10" i="1"/>
  <c r="B10" i="1"/>
  <c r="B11" i="1" s="1"/>
  <c r="R9" i="1"/>
  <c r="N9" i="1"/>
  <c r="H9" i="1"/>
  <c r="N547" i="1" l="1"/>
  <c r="N57" i="1"/>
  <c r="N174" i="1"/>
  <c r="K138" i="1"/>
  <c r="H450" i="1"/>
  <c r="J112" i="1"/>
  <c r="N272" i="1"/>
  <c r="N363" i="1"/>
  <c r="H337" i="1"/>
  <c r="N19" i="1"/>
  <c r="R63" i="1"/>
  <c r="N73" i="1"/>
  <c r="H112" i="1"/>
  <c r="R98" i="1"/>
  <c r="R99" i="1"/>
  <c r="N138" i="1"/>
  <c r="B138" i="1"/>
  <c r="R147" i="1"/>
  <c r="R151" i="1"/>
  <c r="H181" i="1"/>
  <c r="B261" i="1"/>
  <c r="B262" i="1" s="1"/>
  <c r="B263" i="1" s="1"/>
  <c r="H431" i="1"/>
  <c r="N112" i="1"/>
  <c r="K181" i="1"/>
  <c r="H19" i="1"/>
  <c r="K57" i="1"/>
  <c r="I57" i="1"/>
  <c r="H174" i="1"/>
  <c r="R220" i="1"/>
  <c r="H579" i="1"/>
  <c r="N355" i="1"/>
  <c r="N401" i="1"/>
  <c r="J401" i="1"/>
  <c r="R519" i="1"/>
  <c r="R559" i="1"/>
  <c r="N611" i="1"/>
  <c r="N475" i="1"/>
  <c r="R711" i="1"/>
  <c r="N330" i="1"/>
  <c r="R437" i="1"/>
  <c r="R462" i="1"/>
  <c r="R480" i="1"/>
  <c r="R617" i="1"/>
  <c r="N440" i="1"/>
  <c r="H491" i="1"/>
  <c r="H565" i="1"/>
  <c r="N579" i="1"/>
  <c r="R656" i="1"/>
  <c r="R664" i="1"/>
  <c r="N565" i="1"/>
  <c r="N528" i="1"/>
  <c r="R553" i="1"/>
  <c r="H642" i="1"/>
  <c r="R745" i="1"/>
  <c r="N677" i="1"/>
  <c r="N720" i="1"/>
  <c r="H694" i="1"/>
  <c r="B706" i="1"/>
  <c r="R736" i="1"/>
  <c r="R636" i="1"/>
  <c r="N769" i="1"/>
  <c r="B19" i="1"/>
  <c r="H57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174" i="1"/>
  <c r="K112" i="1"/>
  <c r="R86" i="1"/>
  <c r="B112" i="1"/>
  <c r="H73" i="1"/>
  <c r="B73" i="1"/>
  <c r="K73" i="1"/>
  <c r="H138" i="1"/>
  <c r="H254" i="1"/>
  <c r="R201" i="1"/>
  <c r="N254" i="1"/>
  <c r="K254" i="1"/>
  <c r="B254" i="1"/>
  <c r="R288" i="1"/>
  <c r="H330" i="1"/>
  <c r="B330" i="1"/>
  <c r="H272" i="1"/>
  <c r="B355" i="1"/>
  <c r="J355" i="1"/>
  <c r="H401" i="1"/>
  <c r="R383" i="1"/>
  <c r="B448" i="1"/>
  <c r="B450" i="1" s="1"/>
  <c r="H363" i="1"/>
  <c r="N431" i="1"/>
  <c r="B457" i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R456" i="1"/>
  <c r="R458" i="1"/>
  <c r="H355" i="1"/>
  <c r="R408" i="1"/>
  <c r="B579" i="1"/>
  <c r="B401" i="1"/>
  <c r="B431" i="1"/>
  <c r="M450" i="1"/>
  <c r="N445" i="1"/>
  <c r="N450" i="1" s="1"/>
  <c r="H501" i="1"/>
  <c r="R540" i="1"/>
  <c r="H475" i="1"/>
  <c r="R482" i="1"/>
  <c r="N501" i="1"/>
  <c r="B498" i="1"/>
  <c r="B499" i="1" s="1"/>
  <c r="R497" i="1"/>
  <c r="H528" i="1"/>
  <c r="B508" i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H547" i="1"/>
  <c r="B547" i="1"/>
  <c r="H677" i="1"/>
  <c r="H706" i="1"/>
  <c r="H440" i="1"/>
  <c r="N491" i="1"/>
  <c r="R499" i="1"/>
  <c r="B491" i="1"/>
  <c r="B554" i="1"/>
  <c r="B555" i="1" s="1"/>
  <c r="B556" i="1" s="1"/>
  <c r="B557" i="1" s="1"/>
  <c r="B558" i="1" s="1"/>
  <c r="B559" i="1" s="1"/>
  <c r="N623" i="1"/>
  <c r="B623" i="1"/>
  <c r="B650" i="1"/>
  <c r="B651" i="1" s="1"/>
  <c r="B652" i="1" s="1"/>
  <c r="B653" i="1" s="1"/>
  <c r="B654" i="1" s="1"/>
  <c r="B655" i="1" s="1"/>
  <c r="B656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R650" i="1"/>
  <c r="N706" i="1"/>
  <c r="R539" i="1"/>
  <c r="R628" i="1"/>
  <c r="H590" i="1"/>
  <c r="B586" i="1"/>
  <c r="B587" i="1" s="1"/>
  <c r="B588" i="1" s="1"/>
  <c r="H611" i="1"/>
  <c r="B611" i="1"/>
  <c r="R608" i="1"/>
  <c r="H623" i="1"/>
  <c r="J677" i="1"/>
  <c r="N694" i="1"/>
  <c r="R657" i="1"/>
  <c r="N642" i="1"/>
  <c r="B630" i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94" i="1"/>
  <c r="B713" i="1"/>
  <c r="B714" i="1" s="1"/>
  <c r="H752" i="1"/>
  <c r="N752" i="1"/>
  <c r="H720" i="1"/>
  <c r="B752" i="1"/>
  <c r="B769" i="1"/>
  <c r="N800" i="1"/>
  <c r="B800" i="1"/>
  <c r="R764" i="1"/>
  <c r="H769" i="1"/>
  <c r="H800" i="1"/>
  <c r="B501" i="1" l="1"/>
  <c r="B590" i="1"/>
  <c r="B528" i="1"/>
  <c r="B565" i="1"/>
  <c r="B272" i="1"/>
  <c r="B677" i="1"/>
  <c r="B642" i="1"/>
  <c r="B720" i="1"/>
  <c r="B475" i="1"/>
  <c r="B57" i="1"/>
</calcChain>
</file>

<file path=xl/sharedStrings.xml><?xml version="1.0" encoding="utf-8"?>
<sst xmlns="http://schemas.openxmlformats.org/spreadsheetml/2006/main" count="1177" uniqueCount="1136">
  <si>
    <t>DATA FOR THE YEAR 2021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</si>
  <si>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</si>
  <si>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</si>
  <si>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</si>
  <si>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</si>
  <si>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</si>
  <si>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</si>
  <si>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</si>
  <si>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</si>
  <si>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</si>
  <si>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</si>
  <si>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</si>
  <si>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</si>
  <si>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</si>
  <si>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</si>
  <si>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</si>
  <si>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</si>
  <si>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</si>
  <si>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</si>
  <si>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</si>
  <si>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</si>
  <si>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</si>
  <si>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</si>
  <si>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</si>
  <si>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</si>
  <si>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</si>
  <si>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</si>
  <si>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</si>
  <si>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</si>
  <si>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</si>
  <si>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</si>
  <si>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</si>
  <si>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</si>
  <si>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</si>
  <si>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CLOSE-END MUTUAL FUND</t>
  </si>
  <si>
    <t>HGFA</t>
  </si>
  <si>
    <t>HBL Growth Fund (PICIC Growth Fund)</t>
  </si>
  <si>
    <t>HIFA</t>
  </si>
  <si>
    <t>HBL Investment Fund (PICIC Investment Fund)</t>
  </si>
  <si>
    <t>TSMF</t>
  </si>
  <si>
    <t>Tri - Star Mutual Fund Limited</t>
  </si>
  <si>
    <t>DEFAULTERS SEGMENT</t>
  </si>
  <si>
    <t>DOMF</t>
  </si>
  <si>
    <t>Dominion Stock Fund</t>
  </si>
  <si>
    <t>INMF</t>
  </si>
  <si>
    <t>Investec Mutual Fund Limited</t>
  </si>
  <si>
    <t>PUDF</t>
  </si>
  <si>
    <t>Prudential Stocks Fund Limited</t>
  </si>
  <si>
    <t>MODARABAS</t>
  </si>
  <si>
    <t>ARM</t>
  </si>
  <si>
    <t>Allied Rental Modaraba</t>
  </si>
  <si>
    <t>AWWAL</t>
  </si>
  <si>
    <t>Awwal Modaraba</t>
  </si>
  <si>
    <t>BFMOD</t>
  </si>
  <si>
    <t>B. F. Modaraba</t>
  </si>
  <si>
    <t>BRR</t>
  </si>
  <si>
    <t>BRR Guardian Modaraba</t>
  </si>
  <si>
    <t>FANM</t>
  </si>
  <si>
    <t>First Al - Noor Modaraba</t>
  </si>
  <si>
    <t>FCONM</t>
  </si>
  <si>
    <t xml:space="preserve">First Constellation Modaraba 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</si>
  <si>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</si>
  <si>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</si>
  <si>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</si>
  <si>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</si>
  <si>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</si>
  <si>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</si>
  <si>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</si>
  <si>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</si>
  <si>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</si>
  <si>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</si>
  <si>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</si>
  <si>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</si>
  <si>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FPJM</t>
  </si>
  <si>
    <t>First Punjab Modaraba</t>
  </si>
  <si>
    <t>FPRM</t>
  </si>
  <si>
    <t>First Paramount Modaraba</t>
  </si>
  <si>
    <t>FTMM</t>
  </si>
  <si>
    <t>First Treet Manufacturing Modaraba</t>
  </si>
  <si>
    <t>FTSM</t>
  </si>
  <si>
    <t>First Tri - Star Modaraba</t>
  </si>
  <si>
    <t>FUDLM</t>
  </si>
  <si>
    <t>First UDL Modaraba</t>
  </si>
  <si>
    <t>KASBM</t>
  </si>
  <si>
    <t xml:space="preserve">KASB Modaraba </t>
  </si>
  <si>
    <t>MODAM</t>
  </si>
  <si>
    <t>Modaraba Al - Mali</t>
  </si>
  <si>
    <t>PAKMI</t>
  </si>
  <si>
    <t>First Pak Modaraba</t>
  </si>
  <si>
    <t>PMI</t>
  </si>
  <si>
    <t>First Prudential Modaraba</t>
  </si>
  <si>
    <t>HMM</t>
  </si>
  <si>
    <t>Habib Metro Modaraba</t>
  </si>
  <si>
    <t>PIM</t>
  </si>
  <si>
    <t>Popular Islamic Modaraba</t>
  </si>
  <si>
    <t>ORM</t>
  </si>
  <si>
    <t>Orient Rental Modaraba</t>
  </si>
  <si>
    <t>ORIXM</t>
  </si>
  <si>
    <t>Orix Modaraba (Standard Chartered Modaraba)</t>
  </si>
  <si>
    <t>SINDM</t>
  </si>
  <si>
    <t>Sindh Modaraba</t>
  </si>
  <si>
    <t>TRSM</t>
  </si>
  <si>
    <t>Trust Modaraba</t>
  </si>
  <si>
    <t>UCAPM</t>
  </si>
  <si>
    <t>Unicap Modaraba</t>
  </si>
  <si>
    <t>FIM</t>
  </si>
  <si>
    <t>First Investec Modaraba</t>
  </si>
  <si>
    <t>FNBM</t>
  </si>
  <si>
    <t>First National Bank Modaraba</t>
  </si>
  <si>
    <t>LEASING COMPANIES</t>
  </si>
  <si>
    <t>GRYL</t>
  </si>
  <si>
    <t>Grays Leasing Limited</t>
  </si>
  <si>
    <t>OLPL</t>
  </si>
  <si>
    <t>Orix Leasing Pakistan Limited</t>
  </si>
  <si>
    <t>PGLC</t>
  </si>
  <si>
    <t>Pak-Gulf Leasing Company Limited</t>
  </si>
  <si>
    <t>SLL</t>
  </si>
  <si>
    <t>SME Leasing Limited</t>
  </si>
  <si>
    <t>ENGL</t>
  </si>
  <si>
    <t>English Leasing Limited</t>
  </si>
  <si>
    <t>PICL</t>
  </si>
  <si>
    <t>Pakistan Industrial &amp; Commercial Leasing Limited</t>
  </si>
  <si>
    <t>SLCL</t>
  </si>
  <si>
    <t>Security Leasing Corporation Limited</t>
  </si>
  <si>
    <t>SPLC</t>
  </si>
  <si>
    <t>Saudi Pak Leasing Company Limited</t>
  </si>
  <si>
    <t>INVESTMENT BANKS / INVESTMENT COMPANIES / SECURITIES COMPANIES</t>
  </si>
  <si>
    <t>786 Investments Limited</t>
  </si>
  <si>
    <t>AHL</t>
  </si>
  <si>
    <t>Arif Habib Limited</t>
  </si>
  <si>
    <t>AMBL</t>
  </si>
  <si>
    <t>Apna Microfinance Bank Limited</t>
  </si>
  <si>
    <t>BIPLS</t>
  </si>
  <si>
    <t>BIPL Securities Limited</t>
  </si>
  <si>
    <t>CYAN</t>
  </si>
  <si>
    <t>Cyan Limited</t>
  </si>
  <si>
    <r>
      <t xml:space="preserve">CALCORP Limited </t>
    </r>
    <r>
      <rPr>
        <sz val="12"/>
        <rFont val="Tw Cen MT"/>
        <family val="2"/>
      </rPr>
      <t>(Capital Asset Leasing)</t>
    </r>
  </si>
  <si>
    <t>DEL</t>
  </si>
  <si>
    <t>Dawood Equities Limited</t>
  </si>
  <si>
    <t>DAWH</t>
  </si>
  <si>
    <t>Dawood Hercules Corporation Limited</t>
  </si>
  <si>
    <t>DLL</t>
  </si>
  <si>
    <t>Dawood Lawrencepur Limited</t>
  </si>
  <si>
    <t>EFGH</t>
  </si>
  <si>
    <t>EFG Hermes Pakistan Limited</t>
  </si>
  <si>
    <t>ESBL</t>
  </si>
  <si>
    <t>Escorts Investmen Bank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</si>
  <si>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</si>
  <si>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</si>
  <si>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</si>
  <si>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</si>
  <si>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</si>
  <si>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</si>
  <si>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</si>
  <si>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</si>
  <si>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IML</t>
  </si>
  <si>
    <r>
      <t>Imperial Limited</t>
    </r>
    <r>
      <rPr>
        <sz val="12"/>
        <rFont val="Tw Cen MT"/>
        <family val="2"/>
      </rPr>
      <t xml:space="preserve"> (Imperial Sugar)</t>
    </r>
  </si>
  <si>
    <t>ICIBL</t>
  </si>
  <si>
    <t>Invest Capital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</si>
  <si>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</si>
  <si>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</si>
  <si>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</si>
  <si>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</si>
  <si>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</si>
  <si>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</si>
  <si>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MCBAH</t>
  </si>
  <si>
    <t>MCB-Arif Habib Savings &amp; Investments Limited</t>
  </si>
  <si>
    <t>NEXT</t>
  </si>
  <si>
    <t>Next Capital Limited</t>
  </si>
  <si>
    <t>PSX</t>
  </si>
  <si>
    <t>Pakistan Stock Exchange Limited</t>
  </si>
  <si>
    <t>SIBL</t>
  </si>
  <si>
    <t>Security Investment Bank Limited</t>
  </si>
  <si>
    <t>TSBL</t>
  </si>
  <si>
    <t>Trust Securities &amp; Brokerage Limited</t>
  </si>
  <si>
    <t>AMSL</t>
  </si>
  <si>
    <t>Al-Mal Securities &amp; Services Limited</t>
  </si>
  <si>
    <t>FCEL</t>
  </si>
  <si>
    <t>First Capital Equities Limited</t>
  </si>
  <si>
    <t>PASL</t>
  </si>
  <si>
    <t>Pervez Ahmed Consultancy Services Limited</t>
  </si>
  <si>
    <t>PDGH</t>
  </si>
  <si>
    <t>Prudential Discount &amp; Guarantee House Limited</t>
  </si>
  <si>
    <t>PRIB</t>
  </si>
  <si>
    <t>Prudential Investment Bank Limited</t>
  </si>
  <si>
    <t>TRIBL</t>
  </si>
  <si>
    <t>Trust Investment Bank Limited</t>
  </si>
  <si>
    <t>COMMERCIAL BANKS</t>
  </si>
  <si>
    <t>ABL</t>
  </si>
  <si>
    <t>Allied Bank Limited</t>
  </si>
  <si>
    <t>AKBL</t>
  </si>
  <si>
    <t>Askari Bank Limited</t>
  </si>
  <si>
    <t>BAFL</t>
  </si>
  <si>
    <t>Bank Alfalah Limited</t>
  </si>
  <si>
    <t>BAHL</t>
  </si>
  <si>
    <t>Bank AL Habib  Limited</t>
  </si>
  <si>
    <t>BIPL</t>
  </si>
  <si>
    <t>BankIslami Pakistan Limited</t>
  </si>
  <si>
    <t>BOK</t>
  </si>
  <si>
    <t>The Bank of Khyber</t>
  </si>
  <si>
    <t>BOP</t>
  </si>
  <si>
    <t>The Bank of Punjab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</si>
  <si>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</si>
  <si>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</si>
  <si>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</si>
  <si>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</si>
  <si>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</si>
  <si>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</si>
  <si>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</si>
  <si>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</si>
  <si>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MCB</t>
  </si>
  <si>
    <t>MCB Bank Limited</t>
  </si>
  <si>
    <t>MEBL</t>
  </si>
  <si>
    <t>Meezan Bank Limited</t>
  </si>
  <si>
    <t>NBP</t>
  </si>
  <si>
    <t>National Bank of Pakistan</t>
  </si>
  <si>
    <t>SBL</t>
  </si>
  <si>
    <t>Samba Bank Limited</t>
  </si>
  <si>
    <t>SCBPL</t>
  </si>
  <si>
    <t>Standard Chartered Bank (Pakistan) Limited</t>
  </si>
  <si>
    <t>SILK</t>
  </si>
  <si>
    <t>Silkbank Limited</t>
  </si>
  <si>
    <t>SMBL</t>
  </si>
  <si>
    <t>Summit Bank Limited</t>
  </si>
  <si>
    <t>SNBL</t>
  </si>
  <si>
    <t>Soneri Bank Limited</t>
  </si>
  <si>
    <t>UBL</t>
  </si>
  <si>
    <t>United Bank Limited</t>
  </si>
  <si>
    <t>INSURANCE</t>
  </si>
  <si>
    <t>AGIC</t>
  </si>
  <si>
    <t>Askari General Insurance Company Limited</t>
  </si>
  <si>
    <t>AICL</t>
  </si>
  <si>
    <t>Adamjee Insurance Company Limited</t>
  </si>
  <si>
    <t>ALAC</t>
  </si>
  <si>
    <t>Askari Life Assurance Company Limited</t>
  </si>
  <si>
    <t>ASIC</t>
  </si>
  <si>
    <t>Asia Insurance Company Limited</t>
  </si>
  <si>
    <t>ATIL</t>
  </si>
  <si>
    <t>Atlas Insurance Limited</t>
  </si>
  <si>
    <t>CENI</t>
  </si>
  <si>
    <t>Century Insurance Company Limited</t>
  </si>
  <si>
    <t>CSIL</t>
  </si>
  <si>
    <t>Crescent Star Insurance Company Limited</t>
  </si>
  <si>
    <t>EFUG</t>
  </si>
  <si>
    <t>EFU General Insurance Limited</t>
  </si>
  <si>
    <t>EFUL</t>
  </si>
  <si>
    <t>EFU Life Assurance Limited</t>
  </si>
  <si>
    <t>EWIC</t>
  </si>
  <si>
    <t>East West Insurance Company Limited</t>
  </si>
  <si>
    <t>HICL</t>
  </si>
  <si>
    <t>Habib Insurance Company Limited</t>
  </si>
  <si>
    <t>IGIHL</t>
  </si>
  <si>
    <t>IGI Holdings Limited</t>
  </si>
  <si>
    <t>IGIL</t>
  </si>
  <si>
    <t>IGI Life Insurance Limited</t>
  </si>
  <si>
    <t>JGICL</t>
  </si>
  <si>
    <t>Jubilee General Insurance Company Limited</t>
  </si>
  <si>
    <t>JLICL</t>
  </si>
  <si>
    <t>Jubilee Life Insurance Company Limited</t>
  </si>
  <si>
    <t>PAKRI</t>
  </si>
  <si>
    <t>Pakistan Reinsurance Company Limited</t>
  </si>
  <si>
    <t>PINL</t>
  </si>
  <si>
    <t>Premier Insurance Limited</t>
  </si>
  <si>
    <t>RICL</t>
  </si>
  <si>
    <t>Reliance Insurance Company Limited</t>
  </si>
  <si>
    <t>SHNI</t>
  </si>
  <si>
    <t>Shaheen Insurance Company Limited</t>
  </si>
  <si>
    <t>TPLI</t>
  </si>
  <si>
    <t>TPL Insurance Limited</t>
  </si>
  <si>
    <t>UNIC</t>
  </si>
  <si>
    <t>The United Insurance Company of Pakistan Limited</t>
  </si>
  <si>
    <t>UVIC</t>
  </si>
  <si>
    <t>The Universal Insurance Company Limited</t>
  </si>
  <si>
    <t>BIIC</t>
  </si>
  <si>
    <t>Business &amp; Industrial Insurance Company Limited</t>
  </si>
  <si>
    <t>PIL</t>
  </si>
  <si>
    <t>PICIC Insurance Limited</t>
  </si>
  <si>
    <t>PKGI</t>
  </si>
  <si>
    <t>The Pakistan General Insurance Company Limited</t>
  </si>
  <si>
    <t>PRIC</t>
  </si>
  <si>
    <t>Progressive Insurance Company Limited</t>
  </si>
  <si>
    <t>SICL</t>
  </si>
  <si>
    <t>Standard Insurance Company Limited</t>
  </si>
  <si>
    <t>SSIC</t>
  </si>
  <si>
    <t>Silver Star Insurance Company Limited</t>
  </si>
  <si>
    <t>REAL ESTATE INVESTMENT TRUST</t>
  </si>
  <si>
    <t>DCR</t>
  </si>
  <si>
    <t>Dolmen City REIT</t>
  </si>
  <si>
    <t>TEXTILE SPINNING</t>
  </si>
  <si>
    <t>ASTM</t>
  </si>
  <si>
    <t>Asim Textile Mills Limited</t>
  </si>
  <si>
    <t>AWTX</t>
  </si>
  <si>
    <t>Allawasaya Textile &amp; Finishing Mills Limited</t>
  </si>
  <si>
    <t>BCML</t>
  </si>
  <si>
    <t>Babri Cotton Mills Limited</t>
  </si>
  <si>
    <t>CCM</t>
  </si>
  <si>
    <t xml:space="preserve">Crescent Cotton Mills Limited </t>
  </si>
  <si>
    <t>CFL</t>
  </si>
  <si>
    <t>Crescent Fibres Limited</t>
  </si>
  <si>
    <t>CTM</t>
  </si>
  <si>
    <t>Colony Textile Mills Limited</t>
  </si>
  <si>
    <t>DFSM</t>
  </si>
  <si>
    <t>Dewan Farooque Spinning Mills Limited</t>
  </si>
  <si>
    <t>DINT</t>
  </si>
  <si>
    <t>Din Textile Mills Limited</t>
  </si>
  <si>
    <t>DSIL</t>
  </si>
  <si>
    <t>D. S. Industries Limited</t>
  </si>
  <si>
    <t>ELCM</t>
  </si>
  <si>
    <t>Elahi Cotton Mills Limited</t>
  </si>
  <si>
    <t>ELSM</t>
  </si>
  <si>
    <t>Ellcot Spinning Mills Limited</t>
  </si>
  <si>
    <t>GADT</t>
  </si>
  <si>
    <t>Gadoon Textile Mills Limited</t>
  </si>
  <si>
    <t>IDRT</t>
  </si>
  <si>
    <t>Idrees Textile Mills Limited</t>
  </si>
  <si>
    <t>IDSM</t>
  </si>
  <si>
    <t>Ideal Spinning Mills Limited</t>
  </si>
  <si>
    <t>IDYM</t>
  </si>
  <si>
    <t>Indus Dyeing &amp; Manufacturing Company Limited</t>
  </si>
  <si>
    <t>JATM</t>
  </si>
  <si>
    <t>J. A. Textile Mills Limited</t>
  </si>
  <si>
    <t>JDMT</t>
  </si>
  <si>
    <t>Janana De Malucho Textile Mills Limited</t>
  </si>
  <si>
    <t>JKSM</t>
  </si>
  <si>
    <t>J. K. Spinning Mills Limited</t>
  </si>
  <si>
    <t>KHSM</t>
  </si>
  <si>
    <t>Khurshid Spinning Mills Limited</t>
  </si>
  <si>
    <t>KOHTM</t>
  </si>
  <si>
    <t>Kohat Textile Mills Limited</t>
  </si>
  <si>
    <t>KOSM</t>
  </si>
  <si>
    <t>Kohinoor Spinning Mills Limited</t>
  </si>
  <si>
    <t>MQTM</t>
  </si>
  <si>
    <t>Maqbool Textile Mills Limited</t>
  </si>
  <si>
    <t>NAGC</t>
  </si>
  <si>
    <t>Nagina Cotton Mills Limited</t>
  </si>
  <si>
    <t>NATM</t>
  </si>
  <si>
    <t>Nadeem Textile Mills Limited</t>
  </si>
  <si>
    <t>OML</t>
  </si>
  <si>
    <t>Olympia Mills Limited</t>
  </si>
  <si>
    <t>PRET</t>
  </si>
  <si>
    <t>Premium Textile Mills Limited</t>
  </si>
  <si>
    <t>RCML</t>
  </si>
  <si>
    <t>Reliance Cotton Spinning Mills Limited</t>
  </si>
  <si>
    <t>SAIF</t>
  </si>
  <si>
    <t>Saif Textile Mills Limited</t>
  </si>
  <si>
    <t>SERT</t>
  </si>
  <si>
    <t>Service Industries Textiles Limited</t>
  </si>
  <si>
    <t>SHCM</t>
  </si>
  <si>
    <t>Shadman Cotton Mills Limited</t>
  </si>
  <si>
    <t>SHDT</t>
  </si>
  <si>
    <t>Shadab Textile Mills Limited</t>
  </si>
  <si>
    <t>SNAI</t>
  </si>
  <si>
    <t>Sana Industries Limited</t>
  </si>
  <si>
    <t>SSML</t>
  </si>
  <si>
    <t>Saritow Spinning Mills Limited</t>
  </si>
  <si>
    <t>SUTM</t>
  </si>
  <si>
    <t>Sunrays Textile Mills Limited</t>
  </si>
  <si>
    <t>SZTM</t>
  </si>
  <si>
    <t>Shahzad Textile Mills Limited</t>
  </si>
  <si>
    <t>TATM</t>
  </si>
  <si>
    <t>Tata Textile Mills Limited</t>
  </si>
  <si>
    <t>AAL</t>
  </si>
  <si>
    <t>Agro Allianz Limited (Karim Cotton)</t>
  </si>
  <si>
    <t>AATM</t>
  </si>
  <si>
    <t>Ali Asghar Textile Mills Limited</t>
  </si>
  <si>
    <t>AMTEX</t>
  </si>
  <si>
    <t>Amtex Limited</t>
  </si>
  <si>
    <t>ANNT</t>
  </si>
  <si>
    <t>Annoor Textile Mills Limited</t>
  </si>
  <si>
    <t>APOT</t>
  </si>
  <si>
    <t>Apollo Textile Mills Limited</t>
  </si>
  <si>
    <t>AZMT</t>
  </si>
  <si>
    <t>Azmat Textile Mills Limited</t>
  </si>
  <si>
    <t>BILF</t>
  </si>
  <si>
    <t>Bilal Fibres Limited</t>
  </si>
  <si>
    <t>CWSM</t>
  </si>
  <si>
    <t>Chakwal Spinning Mills Limited</t>
  </si>
  <si>
    <t>DATM</t>
  </si>
  <si>
    <t>Data Textiles Limited</t>
  </si>
  <si>
    <t>DKTM</t>
  </si>
  <si>
    <t>Dewan Khalid Textile Mills Limited</t>
  </si>
  <si>
    <t>DMTM</t>
  </si>
  <si>
    <t>Dewan Mushtaq Textile Mills Limited</t>
  </si>
  <si>
    <t>DMTX</t>
  </si>
  <si>
    <t>D. M. Textile Mills Limited</t>
  </si>
  <si>
    <t>DSML</t>
  </si>
  <si>
    <t>Dar Es Salaam Textile Mills Limited</t>
  </si>
  <si>
    <t>DWTM</t>
  </si>
  <si>
    <t>Dewan Textile Mills Limited</t>
  </si>
  <si>
    <t>FAEL</t>
  </si>
  <si>
    <t>Fatima Enterprises Limited</t>
  </si>
  <si>
    <t>GLOT</t>
  </si>
  <si>
    <t>Globe Textile Mills Limited</t>
  </si>
  <si>
    <t>GSPM</t>
  </si>
  <si>
    <t>Gulshan Spinning Mills Limited</t>
  </si>
  <si>
    <t>GUSM</t>
  </si>
  <si>
    <t>Gulistan Spinning Mills Limited</t>
  </si>
  <si>
    <t>GUTM</t>
  </si>
  <si>
    <t>Gulistan Textile Mills Limited</t>
  </si>
  <si>
    <t>HAJT</t>
  </si>
  <si>
    <t>Hajra Textile Mills Limited</t>
  </si>
  <si>
    <t>HIRAT</t>
  </si>
  <si>
    <t>Hira Textile Mills Limited</t>
  </si>
  <si>
    <t>HMIM</t>
  </si>
  <si>
    <t>Haji Mohammad Ismail Mills Limited</t>
  </si>
  <si>
    <t>KSTM</t>
  </si>
  <si>
    <t>Khalid Siraj Textile Mills Limited</t>
  </si>
  <si>
    <t>LMSM</t>
  </si>
  <si>
    <t>Landmark Spinning Industries Limited</t>
  </si>
  <si>
    <t>NCML</t>
  </si>
  <si>
    <t>Nazir Cotton Mills Limited</t>
  </si>
  <si>
    <t>RUBY</t>
  </si>
  <si>
    <t>Ruby Textile Mills Limited</t>
  </si>
  <si>
    <t>SANE</t>
  </si>
  <si>
    <t>Salman Noman Enterprises Limited</t>
  </si>
  <si>
    <t>SLYT</t>
  </si>
  <si>
    <t>Sally Textile Mills Limited</t>
  </si>
  <si>
    <t>TEXTILE WEAVING</t>
  </si>
  <si>
    <t>ASHT</t>
  </si>
  <si>
    <t>Ashfaq Textile Mills Limited</t>
  </si>
  <si>
    <t>PRWM</t>
  </si>
  <si>
    <t>Prosperity Weaving Mills Limited</t>
  </si>
  <si>
    <t>STJT</t>
  </si>
  <si>
    <t>Shahtaj Textile Limited</t>
  </si>
  <si>
    <t>YOUW</t>
  </si>
  <si>
    <t>Yousaf Weaving Mills Limited</t>
  </si>
  <si>
    <t>ZTL</t>
  </si>
  <si>
    <t>Zephyr Textiles Limited</t>
  </si>
  <si>
    <t>HKKT</t>
  </si>
  <si>
    <t>Hakkim Textile Mills Limited</t>
  </si>
  <si>
    <t>ICCI</t>
  </si>
  <si>
    <t>ICC Industries Limited</t>
  </si>
  <si>
    <t>MOHE</t>
  </si>
  <si>
    <t>Mohib Exports Limited</t>
  </si>
  <si>
    <t>SDOT</t>
  </si>
  <si>
    <t>Sadoon Textile Mills Limited</t>
  </si>
  <si>
    <t>SMTM</t>
  </si>
  <si>
    <t>Samin Textiles Limited</t>
  </si>
  <si>
    <t>TEXTILE COMPOSITE</t>
  </si>
  <si>
    <t>ADMM</t>
  </si>
  <si>
    <t>Artistic Denim Mills Limited</t>
  </si>
  <si>
    <t>AHTM</t>
  </si>
  <si>
    <t>Ahmad Hassan Textile Mills Limited</t>
  </si>
  <si>
    <t>ANL</t>
  </si>
  <si>
    <t>Azgard Nine Limited</t>
  </si>
  <si>
    <t>ANTM</t>
  </si>
  <si>
    <t>AN Textile Mills Limited     (Ishaq Textile Mills Limited)</t>
  </si>
  <si>
    <t>ARUJ</t>
  </si>
  <si>
    <t>Aruj Industries Limited</t>
  </si>
  <si>
    <t>BHAT</t>
  </si>
  <si>
    <t>Bhanero Textile Mills Limited</t>
  </si>
  <si>
    <t>BTL</t>
  </si>
  <si>
    <t>Blessed Textiles Limited</t>
  </si>
  <si>
    <t>CRTM</t>
  </si>
  <si>
    <t>The Crescent Textile Mills Limited</t>
  </si>
  <si>
    <t>FASM</t>
  </si>
  <si>
    <t>Faisal Spinning Mills Limited</t>
  </si>
  <si>
    <t>FML</t>
  </si>
  <si>
    <t xml:space="preserve">Feroze1888 Mills Limited </t>
  </si>
  <si>
    <t>FZCM</t>
  </si>
  <si>
    <t>Fazal Cloth Mills Limited</t>
  </si>
  <si>
    <t>GATM</t>
  </si>
  <si>
    <t>Gul Ahmed Textile Mills Limited</t>
  </si>
  <si>
    <t>GFIL</t>
  </si>
  <si>
    <t>Ghazi Fabrics International Limited</t>
  </si>
  <si>
    <t>HAEL</t>
  </si>
  <si>
    <t>Hala Enterprises Limited</t>
  </si>
  <si>
    <t>HAFL</t>
  </si>
  <si>
    <t>Hafiz Limited</t>
  </si>
  <si>
    <t>HUSI</t>
  </si>
  <si>
    <t>Husein Industries Limited</t>
  </si>
  <si>
    <t>ILP</t>
  </si>
  <si>
    <t>Interloop Limited</t>
  </si>
  <si>
    <t>INKL</t>
  </si>
  <si>
    <t>International Knitwear Limited</t>
  </si>
  <si>
    <t>KHYT</t>
  </si>
  <si>
    <t>Khyber Textile Mills Limited</t>
  </si>
  <si>
    <t>KML</t>
  </si>
  <si>
    <t>Kohinoor Mills Limited</t>
  </si>
  <si>
    <t>KOIL</t>
  </si>
  <si>
    <t>Kohinoor Industries Limited</t>
  </si>
  <si>
    <t>KTML</t>
  </si>
  <si>
    <t>Kohinoor Textile Mills Limited</t>
  </si>
  <si>
    <t>MEHT</t>
  </si>
  <si>
    <t>Mahmood Textile Mills Limited</t>
  </si>
  <si>
    <t>MSOT</t>
  </si>
  <si>
    <t>Masood Textile Mills Limited</t>
  </si>
  <si>
    <t>NCL</t>
  </si>
  <si>
    <t>Nishat (Chunian) Limited</t>
  </si>
  <si>
    <t>NML</t>
  </si>
  <si>
    <t>Nishat Mills Limited</t>
  </si>
  <si>
    <t>QUET</t>
  </si>
  <si>
    <t>Quetta Textile Mills Limited</t>
  </si>
  <si>
    <t>REDCO</t>
  </si>
  <si>
    <t>Redco Textiles Limited</t>
  </si>
  <si>
    <t>REWM</t>
  </si>
  <si>
    <t>Reliance Weaving Mills Limited</t>
  </si>
  <si>
    <t>SAPT</t>
  </si>
  <si>
    <t>Sapphire Textile Mills Limited</t>
  </si>
  <si>
    <t>SFL</t>
  </si>
  <si>
    <t>Sapphire Fibres Limited</t>
  </si>
  <si>
    <t>STML</t>
  </si>
  <si>
    <t>Shams Textile Mills Limited</t>
  </si>
  <si>
    <t>SURC</t>
  </si>
  <si>
    <t>Suraj Cotton Mills Limited</t>
  </si>
  <si>
    <t>TOWL</t>
  </si>
  <si>
    <t>Towellers Limited</t>
  </si>
  <si>
    <t>ZAHID</t>
  </si>
  <si>
    <t>Zahidjee Textile Mills Limited</t>
  </si>
  <si>
    <t>CHBL</t>
  </si>
  <si>
    <t>Chenab Limited</t>
  </si>
  <si>
    <t>FSWL</t>
  </si>
  <si>
    <t>Fateh Sports Wear Limited</t>
  </si>
  <si>
    <t>FTHM</t>
  </si>
  <si>
    <t>Fateh Textile Mills Limited</t>
  </si>
  <si>
    <t>HATM</t>
  </si>
  <si>
    <t>Hamid Textile Mills Limited</t>
  </si>
  <si>
    <t>JUBS</t>
  </si>
  <si>
    <t>Jubilee Spinning &amp; Weaving Mills Limited</t>
  </si>
  <si>
    <t>KAKL</t>
  </si>
  <si>
    <t>Kaiser Arts &amp; Krafts Limited</t>
  </si>
  <si>
    <t>MFTM</t>
  </si>
  <si>
    <t>Mohammed Farooq Textile Mills Limited</t>
  </si>
  <si>
    <t>MUBT</t>
  </si>
  <si>
    <t>Mubarak Textile Mills Limited</t>
  </si>
  <si>
    <t>NINA</t>
  </si>
  <si>
    <t>Nina Industries Limited</t>
  </si>
  <si>
    <t>PASM</t>
  </si>
  <si>
    <t>Paramount Spinning Mills Limited</t>
  </si>
  <si>
    <t>SCHT</t>
  </si>
  <si>
    <t>Schon Textiles Limited</t>
  </si>
  <si>
    <t>SFAT</t>
  </si>
  <si>
    <t>Safa Textiles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</si>
  <si>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</si>
  <si>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</si>
  <si>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</si>
  <si>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</si>
  <si>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</si>
  <si>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</si>
  <si>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WOOLLEN</t>
  </si>
  <si>
    <t>BNWM</t>
  </si>
  <si>
    <t>Bannu Woollen Mills Limited</t>
  </si>
  <si>
    <t>SYNTHETIC &amp; RAYON</t>
  </si>
  <si>
    <t>GATI</t>
  </si>
  <si>
    <t>Gatron (Industries) Limited</t>
  </si>
  <si>
    <t>IBFL</t>
  </si>
  <si>
    <t>Ibrahim Fibres Limited</t>
  </si>
  <si>
    <t>IMAGE</t>
  </si>
  <si>
    <r>
      <t xml:space="preserve">Image Pakistan Limited </t>
    </r>
    <r>
      <rPr>
        <sz val="12"/>
        <rFont val="Tw Cen MT"/>
        <family val="2"/>
      </rPr>
      <t>(Tri-Star Polyester Limited)</t>
    </r>
  </si>
  <si>
    <t>NSRM</t>
  </si>
  <si>
    <t>The National Silk &amp; Rayon Mills Limited</t>
  </si>
  <si>
    <t>PSYL</t>
  </si>
  <si>
    <t>Pakistan Synthetics Limited</t>
  </si>
  <si>
    <t>RUPL</t>
  </si>
  <si>
    <t>Rupali Polyester Limited</t>
  </si>
  <si>
    <t>SGABL</t>
  </si>
  <si>
    <t>SG Allied Business Limited  (S. G. Fibres)</t>
  </si>
  <si>
    <t>AASM</t>
  </si>
  <si>
    <t>Al- Abid Silk Mills Limited</t>
  </si>
  <si>
    <t>DSFL</t>
  </si>
  <si>
    <t>Dewan Salman Fibre Limited</t>
  </si>
  <si>
    <t>NAFL</t>
  </si>
  <si>
    <t>National Fibres Limited</t>
  </si>
  <si>
    <t>JUTE</t>
  </si>
  <si>
    <t>CJPL</t>
  </si>
  <si>
    <t>Crescent Jute Products Limited</t>
  </si>
  <si>
    <t>SUHJ</t>
  </si>
  <si>
    <t>Suhail Jute Mills Limited</t>
  </si>
  <si>
    <t>SUGAR &amp; ALLIED INDUSTRIES</t>
  </si>
  <si>
    <t>AABS</t>
  </si>
  <si>
    <t>Al-Abbas Sugar Mills Limited</t>
  </si>
  <si>
    <t>ADAMS</t>
  </si>
  <si>
    <t>Adam Sugar Mills Limited</t>
  </si>
  <si>
    <t>AGSML</t>
  </si>
  <si>
    <t>Abdullah Shah Ghazi Sugar Mills Limited</t>
  </si>
  <si>
    <t>ALNRS</t>
  </si>
  <si>
    <t>Al-Noor Sugar Mills Limited</t>
  </si>
  <si>
    <t>BAFS</t>
  </si>
  <si>
    <t>Baba Farid Sugar Mills Limited</t>
  </si>
  <si>
    <t>CHAS</t>
  </si>
  <si>
    <t>Chashma Sugar Mills Limited</t>
  </si>
  <si>
    <t>FRSM</t>
  </si>
  <si>
    <t>Faran Sugar Mills Limited</t>
  </si>
  <si>
    <t>HABSM</t>
  </si>
  <si>
    <t>Habib Sugar Mills Limited</t>
  </si>
  <si>
    <t>HRPL</t>
  </si>
  <si>
    <t>Habib Rice Products Limited</t>
  </si>
  <si>
    <t>HSM</t>
  </si>
  <si>
    <t>Husein Sugar Mills Limited</t>
  </si>
  <si>
    <t>HSMPS</t>
  </si>
  <si>
    <t>Husein Sugar Mills Limited  (Preference Shares)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</si>
  <si>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</si>
  <si>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</si>
  <si>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</si>
  <si>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</si>
  <si>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</si>
  <si>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</si>
  <si>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MIRKS</t>
  </si>
  <si>
    <t>Mirpurkhas Sugar Mills Limited</t>
  </si>
  <si>
    <t>MRNS</t>
  </si>
  <si>
    <t>Mehran Sugar Mills Limited</t>
  </si>
  <si>
    <t>NONS</t>
  </si>
  <si>
    <t>Noon Sugar Mills Limited</t>
  </si>
  <si>
    <t>PMRS</t>
  </si>
  <si>
    <t>The Premier Sugar Mills &amp; Distillery Company Limited</t>
  </si>
  <si>
    <t>SANSM</t>
  </si>
  <si>
    <t>Sanghar Sugar Mills Limited</t>
  </si>
  <si>
    <t>SASML</t>
  </si>
  <si>
    <t>Sindh Abadgar's Sugar Mills Limited</t>
  </si>
  <si>
    <t>SHJS</t>
  </si>
  <si>
    <t>Shahtaj Sugar Mills Limited</t>
  </si>
  <si>
    <t>SHSML</t>
  </si>
  <si>
    <t>Shahmurad Sugar Mills Limited</t>
  </si>
  <si>
    <t>SKRS</t>
  </si>
  <si>
    <t>Sakrand Sugar Mills Limited</t>
  </si>
  <si>
    <t>SML</t>
  </si>
  <si>
    <t>Shakarganj Limited</t>
  </si>
  <si>
    <t>TICL</t>
  </si>
  <si>
    <t>The Thal Industries Corporation Limited</t>
  </si>
  <si>
    <t>TSML</t>
  </si>
  <si>
    <t>Tandlianwala Sugar Mills Limited</t>
  </si>
  <si>
    <t>ANSM</t>
  </si>
  <si>
    <t>Ansari Sugar Mills Limited</t>
  </si>
  <si>
    <t>DWSM</t>
  </si>
  <si>
    <t>Dewan Sugar Mills Limited</t>
  </si>
  <si>
    <t>HWQS</t>
  </si>
  <si>
    <t>Haseeb Waqas Sugar Mills Limited</t>
  </si>
  <si>
    <t>CEMENT</t>
  </si>
  <si>
    <t>ACPL</t>
  </si>
  <si>
    <t>Attock Cement Pakistan Limited</t>
  </si>
  <si>
    <t>BWCL</t>
  </si>
  <si>
    <t>Bestway Cement Limited</t>
  </si>
  <si>
    <t>CHCC</t>
  </si>
  <si>
    <t>Cherat Cement Company Limited</t>
  </si>
  <si>
    <t>DCL</t>
  </si>
  <si>
    <t>Dewan Cement Limited</t>
  </si>
  <si>
    <t>DGKC</t>
  </si>
  <si>
    <t>D. G. Khan Cement Company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</si>
  <si>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</si>
  <si>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</si>
  <si>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</si>
  <si>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</si>
  <si>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</si>
  <si>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</si>
  <si>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GWLC</t>
  </si>
  <si>
    <t>Gharibwal Cement Limited</t>
  </si>
  <si>
    <t>JVDC</t>
  </si>
  <si>
    <t>Javedan Corporation Limited</t>
  </si>
  <si>
    <t>KOHC</t>
  </si>
  <si>
    <t>Kohat Cement Company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</si>
  <si>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</si>
  <si>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</si>
  <si>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</si>
  <si>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</si>
  <si>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</si>
  <si>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</si>
  <si>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</si>
  <si>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</t>
  </si>
  <si>
    <t>POWERPS</t>
  </si>
  <si>
    <r>
      <t xml:space="preserve">Power Cement Limited  </t>
    </r>
    <r>
      <rPr>
        <sz val="12"/>
        <rFont val="Tw Cen MT"/>
        <family val="2"/>
      </rPr>
      <t>(Preference Shares)</t>
    </r>
  </si>
  <si>
    <t>SMCPL</t>
  </si>
  <si>
    <t>Safe Mix Concrete Limited</t>
  </si>
  <si>
    <t>THCCL</t>
  </si>
  <si>
    <t>Thatta Cement Company Limited</t>
  </si>
  <si>
    <t>DBCI</t>
  </si>
  <si>
    <t>Dadabhoy Cement Industries Limited</t>
  </si>
  <si>
    <t>DNCC</t>
  </si>
  <si>
    <t>Dandot Cement Company Limited</t>
  </si>
  <si>
    <t>ZELP</t>
  </si>
  <si>
    <t>Zeal-Pak Cement Factory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</si>
  <si>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</si>
  <si>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</si>
  <si>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</si>
  <si>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</si>
  <si>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</si>
  <si>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</si>
  <si>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</si>
  <si>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REFINERY</t>
  </si>
  <si>
    <t>ATRL</t>
  </si>
  <si>
    <t>Attock Refinery Limited</t>
  </si>
  <si>
    <t>CNERGY</t>
  </si>
  <si>
    <t>Cnergyico PK Limited  (Byco Petroleum)</t>
  </si>
  <si>
    <t>NRL</t>
  </si>
  <si>
    <t>National Refinery Limited</t>
  </si>
  <si>
    <t>PRL</t>
  </si>
  <si>
    <t>Pakistan Refinery Limited</t>
  </si>
  <si>
    <t>POWER GENERATION &amp; DISTRIBUTION</t>
  </si>
  <si>
    <t>ALTN</t>
  </si>
  <si>
    <t>Altern Energy Limited</t>
  </si>
  <si>
    <t>EPQL</t>
  </si>
  <si>
    <t>Engro Powergen Qadirpur Limited</t>
  </si>
  <si>
    <t>HUBC</t>
  </si>
  <si>
    <t>The Hub Power Company Limited</t>
  </si>
  <si>
    <t>KAPCO</t>
  </si>
  <si>
    <t>Kot Addu Power Company Limited</t>
  </si>
  <si>
    <t>KEL</t>
  </si>
  <si>
    <t>K-Electric Limited</t>
  </si>
  <si>
    <t>KOHE</t>
  </si>
  <si>
    <t>Kohinoor Energy Limited</t>
  </si>
  <si>
    <t>KOHP</t>
  </si>
  <si>
    <t>Kohinoor Power Company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</si>
  <si>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</si>
  <si>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</si>
  <si>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</si>
  <si>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</si>
  <si>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</si>
  <si>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</si>
  <si>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</si>
  <si>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</si>
  <si>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SEL</t>
  </si>
  <si>
    <t>Sitara Energy Limited</t>
  </si>
  <si>
    <t>SGPL</t>
  </si>
  <si>
    <t>S. G. Power Limited</t>
  </si>
  <si>
    <t>SPWL</t>
  </si>
  <si>
    <t>Saif Power Limited</t>
  </si>
  <si>
    <t>TSPL</t>
  </si>
  <si>
    <t>Tri - Star Power Limited</t>
  </si>
  <si>
    <t>AEL</t>
  </si>
  <si>
    <t>Arshad Energy Limited</t>
  </si>
  <si>
    <t>JPGL</t>
  </si>
  <si>
    <t>Japan Power Generation Limited</t>
  </si>
  <si>
    <t>OIL &amp; GAS MARKETING COMPANIES</t>
  </si>
  <si>
    <t>APL</t>
  </si>
  <si>
    <t>Attock Petroleum Limited</t>
  </si>
  <si>
    <t>BPL</t>
  </si>
  <si>
    <t>Burshane LPG (Pakistan) Limited</t>
  </si>
  <si>
    <t>HTL</t>
  </si>
  <si>
    <t>Hi-Tech Lubricants Limited</t>
  </si>
  <si>
    <t>PSO</t>
  </si>
  <si>
    <t>Pakistan State Oil Company Limited</t>
  </si>
  <si>
    <t>SHEL</t>
  </si>
  <si>
    <t>Shell Pakistan Limited</t>
  </si>
  <si>
    <t>SNGP</t>
  </si>
  <si>
    <t>Sui Northern Gas Pipelines Limited</t>
  </si>
  <si>
    <t>SSGC</t>
  </si>
  <si>
    <t>Sui Southern Gas Company Limited</t>
  </si>
  <si>
    <t>HASCOL</t>
  </si>
  <si>
    <t>Hascol Petroleum Limited</t>
  </si>
  <si>
    <t>OIL &amp; GAS EXPLORATION COMPANIES</t>
  </si>
  <si>
    <t>MARI</t>
  </si>
  <si>
    <t>Mari Petroleum Company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</si>
  <si>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</si>
  <si>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</si>
  <si>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</si>
  <si>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</si>
  <si>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</si>
  <si>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</si>
  <si>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ENGINEERING</t>
  </si>
  <si>
    <t>ADOS</t>
  </si>
  <si>
    <t>Ados Pakistan Limited</t>
  </si>
  <si>
    <t>AGHA</t>
  </si>
  <si>
    <t>Agha Steel Industries Limited</t>
  </si>
  <si>
    <t>ASL</t>
  </si>
  <si>
    <t>Aisha Steel Mills Limited</t>
  </si>
  <si>
    <t>ASTL</t>
  </si>
  <si>
    <t>Amreli Steels Limited</t>
  </si>
  <si>
    <t>BECO</t>
  </si>
  <si>
    <r>
      <t xml:space="preserve">Beco Steel Limited </t>
    </r>
    <r>
      <rPr>
        <sz val="12"/>
        <rFont val="Tw Cen MT"/>
        <family val="2"/>
      </rPr>
      <t xml:space="preserve"> (Ravi Textile)</t>
    </r>
  </si>
  <si>
    <t>BCL</t>
  </si>
  <si>
    <t>Bolan Castings Limited</t>
  </si>
  <si>
    <t>CSAP</t>
  </si>
  <si>
    <t>Crescent Steel &amp; Allied Products Limited</t>
  </si>
  <si>
    <t>DADX</t>
  </si>
  <si>
    <t>Dadex Eternit Limited</t>
  </si>
  <si>
    <t>INIL</t>
  </si>
  <si>
    <t>International Industries Limited</t>
  </si>
  <si>
    <t>ISL</t>
  </si>
  <si>
    <t>International Steels Limited</t>
  </si>
  <si>
    <t>ITTEFAQ</t>
  </si>
  <si>
    <t>Ittefaq Iron Industries Limitd</t>
  </si>
  <si>
    <t>KSBP</t>
  </si>
  <si>
    <t>KSB Pumps Company Limited</t>
  </si>
  <si>
    <t>MSCL</t>
  </si>
  <si>
    <t>Metropolitan Steel Corporation Limited</t>
  </si>
  <si>
    <t>MUGHAL</t>
  </si>
  <si>
    <t>Mughal Iron &amp; Steel Industries Limited</t>
  </si>
  <si>
    <t>DKL</t>
  </si>
  <si>
    <t>Drekkar Kingsway Limited</t>
  </si>
  <si>
    <t>DSL</t>
  </si>
  <si>
    <t>Dost Steels Limited</t>
  </si>
  <si>
    <t>HSPI</t>
  </si>
  <si>
    <t>Huffaz Seamless Pipe Industries Limited</t>
  </si>
  <si>
    <t>PECO</t>
  </si>
  <si>
    <t>Pakistan Engineering Company Limited</t>
  </si>
  <si>
    <t>QUSW</t>
  </si>
  <si>
    <t>Quality Steel Works Limited</t>
  </si>
  <si>
    <t>AUTOMOBILE ASSEMBLER</t>
  </si>
  <si>
    <t>AGTL</t>
  </si>
  <si>
    <t>Al-Ghazi Tractors Limited</t>
  </si>
  <si>
    <t>ATLH</t>
  </si>
  <si>
    <t>Atlas Honda Limited</t>
  </si>
  <si>
    <t>GHNI</t>
  </si>
  <si>
    <t>Ghandhara Industries Limited</t>
  </si>
  <si>
    <t>GHNL</t>
  </si>
  <si>
    <t>Ghandhara Nissan Limited</t>
  </si>
  <si>
    <t>HCAR</t>
  </si>
  <si>
    <t>Honda Atlas Cars (Pakistan) Limited</t>
  </si>
  <si>
    <t>HINO</t>
  </si>
  <si>
    <t>Hinopak Motors Limited</t>
  </si>
  <si>
    <t>INDU</t>
  </si>
  <si>
    <t>Indus Motor Company Limited</t>
  </si>
  <si>
    <t>MTL</t>
  </si>
  <si>
    <t>Millat Tractors Limited</t>
  </si>
  <si>
    <t>PSMC</t>
  </si>
  <si>
    <t>Pak Suzuki Motor Company Limited</t>
  </si>
  <si>
    <t>SAZEW</t>
  </si>
  <si>
    <t>Sazgar Engineering Works Limited</t>
  </si>
  <si>
    <t>DFML</t>
  </si>
  <si>
    <t>Dewan Farooque Motors Limited</t>
  </si>
  <si>
    <t>AUTOMOBILE PARTS &amp; ACCESSORIES</t>
  </si>
  <si>
    <t>AGIL</t>
  </si>
  <si>
    <t>Agriautos Industries Limited</t>
  </si>
  <si>
    <t>ATBA</t>
  </si>
  <si>
    <t>Atlas Battery Limited</t>
  </si>
  <si>
    <t>BWHL</t>
  </si>
  <si>
    <t>Baluchistan Wheels Limited</t>
  </si>
  <si>
    <t>EXIDE</t>
  </si>
  <si>
    <t>Exide Pakistan Limited</t>
  </si>
  <si>
    <t>GTYR</t>
  </si>
  <si>
    <t>The General Tyre &amp; Rubber Company of Pakistan Ltd.</t>
  </si>
  <si>
    <t>LOADS</t>
  </si>
  <si>
    <t>Loads Limited</t>
  </si>
  <si>
    <t>PTL</t>
  </si>
  <si>
    <t>Panther Tyres Limited</t>
  </si>
  <si>
    <t>THALL</t>
  </si>
  <si>
    <t>Thal Limited</t>
  </si>
  <si>
    <t>BELA</t>
  </si>
  <si>
    <t>Bela Automotives Limited</t>
  </si>
  <si>
    <t>DWAE</t>
  </si>
  <si>
    <t>Dewan Automotive Engineering Limited</t>
  </si>
  <si>
    <t>CABLE &amp; ELECTRICAL GOODS</t>
  </si>
  <si>
    <t>EMCO</t>
  </si>
  <si>
    <t>Emco Industries Limited</t>
  </si>
  <si>
    <t>PAEL</t>
  </si>
  <si>
    <t>Pak Elektron Limited</t>
  </si>
  <si>
    <t>PCAL</t>
  </si>
  <si>
    <t>Pakistan Cables Limited</t>
  </si>
  <si>
    <t>SIEM</t>
  </si>
  <si>
    <t>Siemens (Pakistan) Engineering Co. Limited</t>
  </si>
  <si>
    <t>WAVES</t>
  </si>
  <si>
    <t>Waves Singer Pakistan Limited</t>
  </si>
  <si>
    <t>JOPP</t>
  </si>
  <si>
    <t>Johnson &amp; Phillips (Pakistan) Limited</t>
  </si>
  <si>
    <t>TRANSPORT</t>
  </si>
  <si>
    <t>CLVL</t>
  </si>
  <si>
    <r>
      <t xml:space="preserve">Cordoba Logistics &amp; Ventures Limited  </t>
    </r>
    <r>
      <rPr>
        <sz val="12"/>
        <rFont val="Tw Cen MT"/>
        <family val="2"/>
      </rPr>
      <t>(Mian Textile Industries)</t>
    </r>
  </si>
  <si>
    <t>PIAA</t>
  </si>
  <si>
    <t>Pakistan International Airlines Corporation Limited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</si>
  <si>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</si>
  <si>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</si>
  <si>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</si>
  <si>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</si>
  <si>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</si>
  <si>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</si>
  <si>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TECHNOLOGY &amp; COMMUNICATION</t>
  </si>
  <si>
    <t>AIRLINK</t>
  </si>
  <si>
    <t>Air Link Communication Limited</t>
  </si>
  <si>
    <t>AVN</t>
  </si>
  <si>
    <t>Avanceon Limited</t>
  </si>
  <si>
    <t>HCL</t>
  </si>
  <si>
    <t>Hallmark Company Limited</t>
  </si>
  <si>
    <t>HUMNL</t>
  </si>
  <si>
    <t>Hum Network Limited</t>
  </si>
  <si>
    <t>MDTL</t>
  </si>
  <si>
    <t>Media Times Limited</t>
  </si>
  <si>
    <t>NETSOL</t>
  </si>
  <si>
    <t>NetSol Technologies Limited</t>
  </si>
  <si>
    <t>OCTOPUS</t>
  </si>
  <si>
    <t>Octopus Digital Limited</t>
  </si>
  <si>
    <t>PAKD</t>
  </si>
  <si>
    <t>Pak Datacom Limited</t>
  </si>
  <si>
    <t>PTC</t>
  </si>
  <si>
    <t>Pakistan Telecommunication Company Ltd.</t>
  </si>
  <si>
    <t>SYS</t>
  </si>
  <si>
    <t>Systems Limited</t>
  </si>
  <si>
    <t>TELE</t>
  </si>
  <si>
    <t>Telecard Limited</t>
  </si>
  <si>
    <t>TPL</t>
  </si>
  <si>
    <t>TPL Corp. Limited</t>
  </si>
  <si>
    <t>TPLT</t>
  </si>
  <si>
    <t>TPL Trakker Limited</t>
  </si>
  <si>
    <t>TRG</t>
  </si>
  <si>
    <t>TRG Pakistan Limited</t>
  </si>
  <si>
    <t>WTL</t>
  </si>
  <si>
    <t>WorldCall Telecom Limited</t>
  </si>
  <si>
    <t>FERTILIZER</t>
  </si>
  <si>
    <t>AHCL</t>
  </si>
  <si>
    <t>Arif Habib Corporation Limited</t>
  </si>
  <si>
    <t>EFERT</t>
  </si>
  <si>
    <t>Engro Fertilizers Limited</t>
  </si>
  <si>
    <t>ENGRO</t>
  </si>
  <si>
    <t>Engro Corporation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</si>
  <si>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</si>
  <si>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</si>
  <si>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</si>
  <si>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</si>
  <si>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</si>
  <si>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</si>
  <si>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PHARMACEUTICALS</t>
  </si>
  <si>
    <t>ABOT</t>
  </si>
  <si>
    <t>Abbott Laboratories (Pakistan) Limited</t>
  </si>
  <si>
    <t>AGP</t>
  </si>
  <si>
    <t>AGP Limited</t>
  </si>
  <si>
    <t>CPHL</t>
  </si>
  <si>
    <t>Citi Pharma Limited</t>
  </si>
  <si>
    <t>FEROZ</t>
  </si>
  <si>
    <t>Ferozsons Laboratories Limited</t>
  </si>
  <si>
    <t>GLAXO</t>
  </si>
  <si>
    <t>GlaxoSmithKline Pakistan Limited</t>
  </si>
  <si>
    <t>GSKCH</t>
  </si>
  <si>
    <t>GlaxoSmithKline Consumer HealthCare Pakistan Limited</t>
  </si>
  <si>
    <t>HINOON</t>
  </si>
  <si>
    <t>Highnoon Laboratories Limited</t>
  </si>
  <si>
    <t>IBLHL</t>
  </si>
  <si>
    <t>IBL Healthcare Limited</t>
  </si>
  <si>
    <t>MACTER</t>
  </si>
  <si>
    <t>Macter International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</si>
  <si>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</si>
  <si>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</si>
  <si>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</si>
  <si>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</si>
  <si>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</si>
  <si>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</si>
  <si>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</si>
  <si>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</si>
  <si>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CHEMICAL</t>
  </si>
  <si>
    <t>AGL</t>
  </si>
  <si>
    <t>Agritech Limited</t>
  </si>
  <si>
    <t>ARPL</t>
  </si>
  <si>
    <t>Archroma Pakistan Limited</t>
  </si>
  <si>
    <t>BERG</t>
  </si>
  <si>
    <t>Berger Paints Pakistan Limited</t>
  </si>
  <si>
    <t>BIFO</t>
  </si>
  <si>
    <t>Biafo Industries Limited</t>
  </si>
  <si>
    <t>BUXL</t>
  </si>
  <si>
    <t>Buxly Paints Limited</t>
  </si>
  <si>
    <t>COLG</t>
  </si>
  <si>
    <t>Colgate - Palmolive (Pakistan) Limited</t>
  </si>
  <si>
    <t>DAAG</t>
  </si>
  <si>
    <t>Data Agro Limited</t>
  </si>
  <si>
    <t>DOL</t>
  </si>
  <si>
    <t>Descon Oxychem Limited</t>
  </si>
  <si>
    <t>DYNO</t>
  </si>
  <si>
    <t>Dynea Pakistan Limited</t>
  </si>
  <si>
    <t>EPCL</t>
  </si>
  <si>
    <t>Engro Polymer &amp; Chemicals Limited</t>
  </si>
  <si>
    <t>EPCLPS</t>
  </si>
  <si>
    <r>
      <t>Engro Polymer &amp; Chemicals Limited</t>
    </r>
    <r>
      <rPr>
        <i/>
        <sz val="12"/>
        <rFont val="Tw Cen MT"/>
        <family val="2"/>
      </rPr>
      <t xml:space="preserve"> (Preference Shares)</t>
    </r>
  </si>
  <si>
    <t>GTECH</t>
  </si>
  <si>
    <r>
      <t xml:space="preserve">G3 Technologies Limited  </t>
    </r>
    <r>
      <rPr>
        <sz val="12"/>
        <rFont val="Tw Cen MT"/>
        <family val="2"/>
      </rPr>
      <t>(Service Fabrics Limited)</t>
    </r>
  </si>
  <si>
    <t>GGL</t>
  </si>
  <si>
    <t>Ghani Global Holdings Limited (Ghani Gases Limited)</t>
  </si>
  <si>
    <t>ICI</t>
  </si>
  <si>
    <t>ICI Pakistan Limited</t>
  </si>
  <si>
    <t>ICL</t>
  </si>
  <si>
    <t>Ittehad Chemicals Limited</t>
  </si>
  <si>
    <t>LOTCHEM</t>
  </si>
  <si>
    <t>Lotte Chemical Pakistan Limited</t>
  </si>
  <si>
    <t>LPGL</t>
  </si>
  <si>
    <t>Leiner Pak Gelatine Limited</t>
  </si>
  <si>
    <t>NICL</t>
  </si>
  <si>
    <t>Nimir Industrial Chemicals Limited</t>
  </si>
  <si>
    <t>NRSL</t>
  </si>
  <si>
    <t>Nimir Resins Limited</t>
  </si>
  <si>
    <t>PAKOXY</t>
  </si>
  <si>
    <t>Pakistan Oxygen Limited (Linde Pakistan Limited)</t>
  </si>
  <si>
    <t>SARC</t>
  </si>
  <si>
    <t>Sardar Chemical Industries Limited</t>
  </si>
  <si>
    <t>SITC</t>
  </si>
  <si>
    <t>Sitara Chemical Industries Limited</t>
  </si>
  <si>
    <t>SPL</t>
  </si>
  <si>
    <t>Sitara Peroxide Limited</t>
  </si>
  <si>
    <t>WAHN</t>
  </si>
  <si>
    <t>Wah Noble Chemicals Limited</t>
  </si>
  <si>
    <t>BAPL</t>
  </si>
  <si>
    <t>Bawany Air Products Limited</t>
  </si>
  <si>
    <t>PPVC</t>
  </si>
  <si>
    <t>Pakistan PVC Limited</t>
  </si>
  <si>
    <t>SHCI</t>
  </si>
  <si>
    <t>Shaffi Chemical Industries Limited</t>
  </si>
  <si>
    <t>PAPER &amp; BOARD</t>
  </si>
  <si>
    <t>CEPB</t>
  </si>
  <si>
    <t>Century Paper &amp; Board Mills Limited</t>
  </si>
  <si>
    <t>CPPL</t>
  </si>
  <si>
    <t>Cherat Packaging Limited</t>
  </si>
  <si>
    <t>MERIT</t>
  </si>
  <si>
    <t>Merit Packaging Limited</t>
  </si>
  <si>
    <t>PKGS</t>
  </si>
  <si>
    <t>Packages Limited</t>
  </si>
  <si>
    <t>PPP</t>
  </si>
  <si>
    <t>Pakistan Paper Products Limited</t>
  </si>
  <si>
    <t>RPL</t>
  </si>
  <si>
    <t>Roshan Packages Limited</t>
  </si>
  <si>
    <t>SEPL</t>
  </si>
  <si>
    <t>Security Papers Limited</t>
  </si>
  <si>
    <t>ABSON</t>
  </si>
  <si>
    <t>Abson Industries Limited</t>
  </si>
  <si>
    <t>DBSL</t>
  </si>
  <si>
    <t>Dadabhoy Sack Limited</t>
  </si>
  <si>
    <t>VANASPATI &amp; ALLIED INDUSTRIES</t>
  </si>
  <si>
    <t>POML</t>
  </si>
  <si>
    <t>Punjab Oil Mills Limited</t>
  </si>
  <si>
    <t>SSOM</t>
  </si>
  <si>
    <t>S. S. Oil Mills Limited</t>
  </si>
  <si>
    <t>EXTR</t>
  </si>
  <si>
    <t>Extraction (Pakistan) Limited</t>
  </si>
  <si>
    <t>SURAJ</t>
  </si>
  <si>
    <t>Suraj Ghee Industries Limited</t>
  </si>
  <si>
    <t>LEATHER &amp; TANNERIES</t>
  </si>
  <si>
    <t>BATA</t>
  </si>
  <si>
    <t>Bata Pakistan Limited</t>
  </si>
  <si>
    <t>LEUL</t>
  </si>
  <si>
    <t>Leather Up Limited</t>
  </si>
  <si>
    <t>SGF</t>
  </si>
  <si>
    <t>Service Global Footwear Limited</t>
  </si>
  <si>
    <t>SRVI</t>
  </si>
  <si>
    <t>Service Industries Limited</t>
  </si>
  <si>
    <t>FIL</t>
  </si>
  <si>
    <t>Fateh Industries Limited</t>
  </si>
  <si>
    <t>PAKL</t>
  </si>
  <si>
    <t>Pak Leather Crafts Limited</t>
  </si>
  <si>
    <t>FOOD &amp; PERSONAL CARE PRODUCTS</t>
  </si>
  <si>
    <t>ASC</t>
  </si>
  <si>
    <t>Al Shaheer Corporation Limited</t>
  </si>
  <si>
    <t>BNL</t>
  </si>
  <si>
    <t>Bunny's Limited (Moonlite Pak)</t>
  </si>
  <si>
    <t>FCEPL</t>
  </si>
  <si>
    <t>Frieslandcampina Engro Pakistan Limited</t>
  </si>
  <si>
    <t>FFL</t>
  </si>
  <si>
    <t>Fauji Foods Limited</t>
  </si>
  <si>
    <t>GIL</t>
  </si>
  <si>
    <t>Goodluck Industries Limited</t>
  </si>
  <si>
    <t>GLPL</t>
  </si>
  <si>
    <t>Gillette Pakistan Limited</t>
  </si>
  <si>
    <t>ISIL</t>
  </si>
  <si>
    <t>Ismail Industries Limited</t>
  </si>
  <si>
    <t>MFFL</t>
  </si>
  <si>
    <t>Mitchell's Fruit Farms Limited</t>
  </si>
  <si>
    <t>MFL</t>
  </si>
  <si>
    <t>Matco Foods Limited</t>
  </si>
  <si>
    <t>MUREB</t>
  </si>
  <si>
    <t>Murree Brewery Company Limited</t>
  </si>
  <si>
    <t>NATF</t>
  </si>
  <si>
    <t>National Foods Limited</t>
  </si>
  <si>
    <t>NESTLE</t>
  </si>
  <si>
    <t>Nestle Pakistan Limited</t>
  </si>
  <si>
    <t>PREMA</t>
  </si>
  <si>
    <t>At-Tahur Limited</t>
  </si>
  <si>
    <t>QUICE</t>
  </si>
  <si>
    <t>Quice Food Industries Limited</t>
  </si>
  <si>
    <t>RMPL</t>
  </si>
  <si>
    <t>Rafhan Maize Products Co. Limited</t>
  </si>
  <si>
    <t>SCL</t>
  </si>
  <si>
    <t>Shield Corporation Limited</t>
  </si>
  <si>
    <t>SHEZ</t>
  </si>
  <si>
    <t>Shezan International Limited</t>
  </si>
  <si>
    <t>TOMCL</t>
  </si>
  <si>
    <t>The Organic Meat Company Limited</t>
  </si>
  <si>
    <t>TREET</t>
  </si>
  <si>
    <t>Treet Corporation Limited</t>
  </si>
  <si>
    <t>UNITY</t>
  </si>
  <si>
    <t>Unity Foods Limited</t>
  </si>
  <si>
    <t>UPFL</t>
  </si>
  <si>
    <t>Unilever Pakistan Foods Limited</t>
  </si>
  <si>
    <t>ZIL</t>
  </si>
  <si>
    <t>ZIL Limited</t>
  </si>
  <si>
    <t>CLOV</t>
  </si>
  <si>
    <t>Clover Pakistan Limited</t>
  </si>
  <si>
    <t>NMFL</t>
  </si>
  <si>
    <t>Nirala MSR Foods LImited</t>
  </si>
  <si>
    <t>GLASS &amp; CERAMICS</t>
  </si>
  <si>
    <t>BGL</t>
  </si>
  <si>
    <t>Balochistan Glass Limited</t>
  </si>
  <si>
    <t>FRCL</t>
  </si>
  <si>
    <t>Frontier Ceramics Limited</t>
  </si>
  <si>
    <t>GGGL</t>
  </si>
  <si>
    <t>Ghani Global Glass Limited</t>
  </si>
  <si>
    <t>GHGL</t>
  </si>
  <si>
    <t>Ghani Glass Limited</t>
  </si>
  <si>
    <t>GVGL</t>
  </si>
  <si>
    <t>Ghani Value Glass Limited</t>
  </si>
  <si>
    <t>KCL</t>
  </si>
  <si>
    <t>Karam Ceramics Limited</t>
  </si>
  <si>
    <t>STCL</t>
  </si>
  <si>
    <t>Shabbir Tiles &amp; Ceramics Limited</t>
  </si>
  <si>
    <t>TGL</t>
  </si>
  <si>
    <t>Tariq Glass Industries Limited</t>
  </si>
  <si>
    <t>REGAL</t>
  </si>
  <si>
    <t>Regal Ceramics Limited</t>
  </si>
  <si>
    <t>MISCELLANEOUS</t>
  </si>
  <si>
    <t>AKDHL</t>
  </si>
  <si>
    <r>
      <t xml:space="preserve">AKD Hospitality Limited </t>
    </r>
    <r>
      <rPr>
        <sz val="12"/>
        <rFont val="Tw Cen MT"/>
        <family val="2"/>
      </rPr>
      <t xml:space="preserve"> (AKD Capital Limited)</t>
    </r>
  </si>
  <si>
    <t>AKGL</t>
  </si>
  <si>
    <t>Al - Khair Gadoon Limited</t>
  </si>
  <si>
    <t>ARPAK</t>
  </si>
  <si>
    <t>Arpak International Investments Limited</t>
  </si>
  <si>
    <t>ECOP</t>
  </si>
  <si>
    <t>EcoPack Limited</t>
  </si>
  <si>
    <t>GAMON</t>
  </si>
  <si>
    <t>Gammon Pakistan Limited</t>
  </si>
  <si>
    <t>GOC</t>
  </si>
  <si>
    <t>GOC (Pak) Limited</t>
  </si>
  <si>
    <t>MACFL</t>
  </si>
  <si>
    <t>MacPac Films Limited</t>
  </si>
  <si>
    <t>PABC</t>
  </si>
  <si>
    <t>Pakistan Aluminium Beverage Cans Limited</t>
  </si>
  <si>
    <t>PACE</t>
  </si>
  <si>
    <t>Pace (Pakistan) Limited</t>
  </si>
  <si>
    <t>PHDL</t>
  </si>
  <si>
    <t>Pakistan Hotels Developers Limited</t>
  </si>
  <si>
    <t>PSEL</t>
  </si>
  <si>
    <t>Pakistan Services Limited</t>
  </si>
  <si>
    <t>SHFA</t>
  </si>
  <si>
    <t>Shifa International Hospitals Limited</t>
  </si>
  <si>
    <t>SPEL</t>
  </si>
  <si>
    <t>Synthetic Products Enterprises Limited</t>
  </si>
  <si>
    <t>STPL</t>
  </si>
  <si>
    <t>Siddiqsons Tin Plate Limited</t>
  </si>
  <si>
    <t>TPLP</t>
  </si>
  <si>
    <t>TPL Properties Limited</t>
  </si>
  <si>
    <t>TRIPF</t>
  </si>
  <si>
    <t>Tri-Pack Films Limited</t>
  </si>
  <si>
    <t>UBDL</t>
  </si>
  <si>
    <t>United Brands Limited</t>
  </si>
  <si>
    <t>UDPL</t>
  </si>
  <si>
    <t>United Distributors Pakistan Limited</t>
  </si>
  <si>
    <t>DCTL</t>
  </si>
  <si>
    <t>Dadabhoy Construction Technology Limited</t>
  </si>
  <si>
    <t>DIIL</t>
  </si>
  <si>
    <t>Diamond Industries Limited</t>
  </si>
  <si>
    <t>HACC</t>
  </si>
  <si>
    <t>Hashimi Can Company Limited</t>
  </si>
  <si>
    <t>HADC</t>
  </si>
  <si>
    <t>Hayderi Construction Company Limited</t>
  </si>
  <si>
    <t>MWMP</t>
  </si>
  <si>
    <t>Mandviwalla Mauser Plastic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</si>
</sst>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);\(#,##0.000\)"/>
    <numFmt numFmtId="165" formatCode="dd/mmm/yyyy"/>
    <numFmt numFmtId="166" formatCode="#,##0.000_);[Red]\(#,##0.000\)"/>
    <numFmt numFmtId="168" formatCode="#,##0.0_);\(#,##0.0\)"/>
  </numFmts>
  <fonts count="17" x14ac:knownFonts="1">
    <font>
      <sz val="10"/>
      <name val="Arial"/>
    </font>
    <font>
      <b/>
      <sz val="12"/>
      <name val="Tw Cen MT"/>
      <family val="2"/>
    </font>
    <font>
      <b/>
      <sz val="24"/>
      <color rgb="FF3333FF"/>
      <name val="Tw Cen MT"/>
      <family val="2"/>
    </font>
    <font>
      <sz val="12"/>
      <name val="Tw Cen MT"/>
      <family val="2"/>
    </font>
    <font>
      <sz val="12"/>
      <color indexed="12"/>
      <name val="Tw Cen MT"/>
      <family val="2"/>
    </font>
    <font>
      <sz val="10"/>
      <name val="Tw Cen MT"/>
      <family val="2"/>
    </font>
    <font>
      <sz val="10"/>
      <color indexed="12"/>
      <name val="Tw Cen MT"/>
      <family val="2"/>
    </font>
    <font>
      <b/>
      <sz val="10"/>
      <name val="Tw Cen MT"/>
      <family val="2"/>
    </font>
    <font>
      <b/>
      <sz val="12"/>
      <color indexed="12"/>
      <name val="Tw Cen MT"/>
      <family val="2"/>
    </font>
    <font>
      <b/>
      <i/>
      <sz val="10"/>
      <name val="Tw Cen MT"/>
      <family val="2"/>
    </font>
    <font>
      <b/>
      <i/>
      <sz val="10"/>
      <color indexed="12"/>
      <name val="Tw Cen MT"/>
      <family val="2"/>
    </font>
    <font>
      <b/>
      <sz val="14"/>
      <color indexed="18"/>
      <name val="Tw Cen MT"/>
      <family val="2"/>
    </font>
    <font>
      <sz val="12"/>
      <color rgb="FF3333FF"/>
      <name val="Tw Cen MT"/>
      <family val="2"/>
    </font>
    <font>
      <b/>
      <i/>
      <sz val="14"/>
      <color indexed="10"/>
      <name val="Tw Cen MT"/>
      <family val="2"/>
    </font>
    <font>
      <sz val="10"/>
      <color rgb="FF3333FF"/>
      <name val="Tw Cen MT"/>
      <family val="2"/>
    </font>
    <font>
      <b/>
      <sz val="12"/>
      <color rgb="FF3333FF"/>
      <name val="Tw Cen MT"/>
      <family val="2"/>
    </font>
    <font>
      <i/>
      <sz val="12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7" fillId="3" borderId="5" xfId="0" applyNumberFormat="1" applyFont="1" applyFill="1" applyBorder="1"/>
    <xf numFmtId="166" fontId="5" fillId="3" borderId="5" xfId="0" applyNumberFormat="1" applyFont="1" applyFill="1" applyBorder="1"/>
    <xf numFmtId="38" fontId="1" fillId="3" borderId="5" xfId="0" applyNumberFormat="1" applyFont="1" applyFill="1" applyBorder="1"/>
    <xf numFmtId="164" fontId="8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5" fontId="1" fillId="0" borderId="10" xfId="0" applyNumberFormat="1" applyFont="1" applyBorder="1"/>
    <xf numFmtId="166" fontId="3" fillId="0" borderId="10" xfId="0" applyNumberFormat="1" applyFont="1" applyBorder="1"/>
    <xf numFmtId="168" fontId="3" fillId="0" borderId="10" xfId="0" applyNumberFormat="1" applyFont="1" applyBorder="1" applyAlignment="1">
      <alignment horizontal="center"/>
    </xf>
    <xf numFmtId="166" fontId="12" fillId="0" borderId="10" xfId="0" applyNumberFormat="1" applyFont="1" applyBorder="1"/>
    <xf numFmtId="40" fontId="3" fillId="0" borderId="10" xfId="0" applyNumberFormat="1" applyFont="1" applyBorder="1"/>
    <xf numFmtId="40" fontId="12" fillId="0" borderId="10" xfId="0" applyNumberFormat="1" applyFont="1" applyBorder="1"/>
    <xf numFmtId="37" fontId="3" fillId="0" borderId="1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Border="1"/>
    <xf numFmtId="166" fontId="3" fillId="0" borderId="0" xfId="0" applyNumberFormat="1" applyFont="1" applyBorder="1"/>
    <xf numFmtId="168" fontId="3" fillId="0" borderId="0" xfId="0" applyNumberFormat="1" applyFont="1" applyBorder="1" applyAlignment="1">
      <alignment horizontal="center"/>
    </xf>
    <xf numFmtId="166" fontId="12" fillId="0" borderId="0" xfId="0" applyNumberFormat="1" applyFont="1" applyBorder="1"/>
    <xf numFmtId="40" fontId="3" fillId="0" borderId="0" xfId="0" applyNumberFormat="1" applyFont="1" applyBorder="1"/>
    <xf numFmtId="40" fontId="12" fillId="0" borderId="0" xfId="0" applyNumberFormat="1" applyFont="1" applyBorder="1"/>
    <xf numFmtId="37" fontId="3" fillId="0" borderId="0" xfId="0" applyNumberFormat="1" applyFont="1" applyBorder="1"/>
    <xf numFmtId="0" fontId="13" fillId="3" borderId="10" xfId="0" applyFont="1" applyFill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/>
    <xf numFmtId="0" fontId="1" fillId="0" borderId="10" xfId="0" applyFont="1" applyFill="1" applyBorder="1"/>
    <xf numFmtId="166" fontId="1" fillId="0" borderId="10" xfId="0" applyNumberFormat="1" applyFont="1" applyBorder="1"/>
    <xf numFmtId="168" fontId="1" fillId="0" borderId="10" xfId="0" applyNumberFormat="1" applyFont="1" applyBorder="1" applyAlignment="1">
      <alignment horizontal="center"/>
    </xf>
    <xf numFmtId="166" fontId="15" fillId="0" borderId="1" xfId="0" applyNumberFormat="1" applyFont="1" applyBorder="1"/>
    <xf numFmtId="166" fontId="15" fillId="0" borderId="10" xfId="0" applyNumberFormat="1" applyFont="1" applyBorder="1"/>
    <xf numFmtId="40" fontId="1" fillId="0" borderId="3" xfId="0" applyNumberFormat="1" applyFont="1" applyBorder="1"/>
    <xf numFmtId="40" fontId="15" fillId="0" borderId="3" xfId="0" applyNumberFormat="1" applyFont="1" applyBorder="1"/>
    <xf numFmtId="38" fontId="1" fillId="0" borderId="10" xfId="0" applyNumberFormat="1" applyFont="1" applyBorder="1"/>
    <xf numFmtId="0" fontId="7" fillId="0" borderId="0" xfId="0" applyFont="1"/>
    <xf numFmtId="0" fontId="13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38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/>
    <xf numFmtId="168" fontId="1" fillId="0" borderId="0" xfId="0" applyNumberFormat="1" applyFont="1" applyBorder="1" applyAlignment="1">
      <alignment horizontal="center"/>
    </xf>
    <xf numFmtId="166" fontId="15" fillId="0" borderId="0" xfId="0" applyNumberFormat="1" applyFont="1" applyBorder="1"/>
    <xf numFmtId="40" fontId="1" fillId="0" borderId="0" xfId="0" applyNumberFormat="1" applyFont="1" applyBorder="1"/>
    <xf numFmtId="40" fontId="15" fillId="0" borderId="0" xfId="0" applyNumberFormat="1" applyFont="1" applyBorder="1"/>
    <xf numFmtId="38" fontId="1" fillId="0" borderId="0" xfId="0" applyNumberFormat="1" applyFont="1" applyBorder="1"/>
    <xf numFmtId="166" fontId="3" fillId="0" borderId="10" xfId="0" applyNumberFormat="1" applyFont="1" applyFill="1" applyBorder="1"/>
    <xf numFmtId="168" fontId="3" fillId="0" borderId="10" xfId="0" applyNumberFormat="1" applyFont="1" applyFill="1" applyBorder="1" applyAlignment="1">
      <alignment horizontal="center"/>
    </xf>
    <xf numFmtId="166" fontId="12" fillId="0" borderId="10" xfId="0" applyNumberFormat="1" applyFont="1" applyFill="1" applyBorder="1"/>
    <xf numFmtId="40" fontId="3" fillId="0" borderId="10" xfId="0" applyNumberFormat="1" applyFont="1" applyFill="1" applyBorder="1"/>
    <xf numFmtId="40" fontId="12" fillId="0" borderId="10" xfId="0" applyNumberFormat="1" applyFont="1" applyFill="1" applyBorder="1"/>
    <xf numFmtId="37" fontId="3" fillId="0" borderId="10" xfId="0" applyNumberFormat="1" applyFont="1" applyFill="1" applyBorder="1"/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01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RowHeight="12.75" x14ac:dyDescent="0.2"/>
  <cols>
    <col min="1" max="1" width="3.7109375" style="7" customWidth="1"/>
    <col min="2" max="2" width="8.7109375" style="7" bestFit="1" customWidth="1"/>
    <col min="3" max="3" width="12.7109375" style="7" bestFit="1" customWidth="1"/>
    <col min="4" max="4" width="61.42578125" style="7" customWidth="1"/>
    <col min="5" max="5" width="14.7109375" style="88" bestFit="1" customWidth="1"/>
    <col min="6" max="6" width="15" style="7" bestFit="1" customWidth="1"/>
    <col min="7" max="7" width="8.5703125" style="7" bestFit="1" customWidth="1"/>
    <col min="8" max="8" width="13.7109375" style="8" bestFit="1" customWidth="1"/>
    <col min="9" max="9" width="14.85546875" style="7" customWidth="1"/>
    <col min="10" max="10" width="16.7109375" style="7" customWidth="1"/>
    <col min="11" max="11" width="16.7109375" style="7" bestFit="1" customWidth="1"/>
    <col min="12" max="12" width="13.7109375" style="7" customWidth="1"/>
    <col min="13" max="13" width="15.28515625" style="7" bestFit="1" customWidth="1"/>
    <col min="14" max="14" width="14.28515625" style="8" bestFit="1" customWidth="1"/>
    <col min="15" max="15" width="15" style="7" bestFit="1" customWidth="1"/>
    <col min="16" max="18" width="12.5703125" style="7" bestFit="1" customWidth="1"/>
    <col min="19" max="19" width="13.5703125" style="7" bestFit="1" customWidth="1"/>
    <col min="20" max="16384" width="9.140625" style="7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</row>
    <row r="2" spans="2:19" ht="15.75" x14ac:dyDescent="0.25">
      <c r="B2" s="9"/>
      <c r="C2" s="10"/>
      <c r="D2" s="11"/>
      <c r="E2" s="12"/>
      <c r="F2" s="13"/>
      <c r="G2" s="14"/>
      <c r="H2" s="15"/>
      <c r="I2" s="16"/>
      <c r="J2" s="16"/>
      <c r="K2" s="16"/>
      <c r="L2" s="17" t="s">
        <v>1</v>
      </c>
      <c r="M2" s="17" t="s">
        <v>2</v>
      </c>
      <c r="N2" s="18"/>
      <c r="O2" s="17" t="s">
        <v>2</v>
      </c>
      <c r="P2" s="17"/>
      <c r="Q2" s="17"/>
      <c r="R2" s="18"/>
      <c r="S2" s="17" t="s">
        <v>5</v>
      </c>
    </row>
    <row r="3" spans="2:19" ht="15.75" x14ac:dyDescent="0.25">
      <c r="B3" s="19" t="s">
        <v>7</v>
      </c>
      <c r="C3" s="20" t="s">
        <v>8</v>
      </c>
      <c r="D3" s="20"/>
      <c r="E3" s="21" t="s">
        <v>9</v>
      </c>
      <c r="F3" s="22" t="s">
        <v>10</v>
      </c>
      <c r="G3" s="23" t="s">
        <v>11</v>
      </c>
      <c r="H3" s="24" t="s">
        <v>5</v>
      </c>
      <c r="I3" s="20" t="s">
        <v>12</v>
      </c>
      <c r="J3" s="20" t="s">
        <v>3</v>
      </c>
      <c r="K3" s="20" t="s">
        <v>13</v>
      </c>
      <c r="L3" s="20" t="s">
        <v>14</v>
      </c>
      <c r="M3" s="20" t="s">
        <v>15</v>
      </c>
      <c r="N3" s="24" t="s">
        <v>16</v>
      </c>
      <c r="O3" s="20" t="s">
        <v>17</v>
      </c>
      <c r="P3" s="20" t="s">
        <v>18</v>
      </c>
      <c r="Q3" s="20" t="s">
        <v>19</v>
      </c>
      <c r="R3" s="24" t="s">
        <v>3</v>
      </c>
      <c r="S3" s="20" t="s">
        <v>21</v>
      </c>
    </row>
    <row r="4" spans="2:19" ht="15.75" x14ac:dyDescent="0.25">
      <c r="B4" s="19" t="s">
        <v>22</v>
      </c>
      <c r="C4" s="20"/>
      <c r="D4" s="20" t="s">
        <v>23</v>
      </c>
      <c r="E4" s="21" t="s">
        <v>24</v>
      </c>
      <c r="F4" s="22" t="s">
        <v>20</v>
      </c>
      <c r="G4" s="23" t="s">
        <v>25</v>
      </c>
      <c r="H4" s="24" t="s">
        <v>26</v>
      </c>
      <c r="I4" s="20"/>
      <c r="J4" s="20" t="s">
        <v>4</v>
      </c>
      <c r="K4" s="25" t="s">
        <v>27</v>
      </c>
      <c r="L4" s="20" t="s">
        <v>28</v>
      </c>
      <c r="M4" s="20" t="s">
        <v>16</v>
      </c>
      <c r="N4" s="24"/>
      <c r="O4" s="20" t="s">
        <v>16</v>
      </c>
      <c r="P4" s="20" t="s">
        <v>6</v>
      </c>
      <c r="Q4" s="20" t="s">
        <v>6</v>
      </c>
      <c r="R4" s="24" t="s">
        <v>6</v>
      </c>
      <c r="S4" s="20" t="s">
        <v>29</v>
      </c>
    </row>
    <row r="5" spans="2:19" ht="15.75" x14ac:dyDescent="0.25">
      <c r="B5" s="26"/>
      <c r="C5" s="27"/>
      <c r="D5" s="27"/>
      <c r="E5" s="28"/>
      <c r="F5" s="29" t="s">
        <v>30</v>
      </c>
      <c r="G5" s="30"/>
      <c r="H5" s="31" t="s">
        <v>31</v>
      </c>
      <c r="I5" s="29" t="s">
        <v>30</v>
      </c>
      <c r="J5" s="29" t="s">
        <v>30</v>
      </c>
      <c r="K5" s="29" t="s">
        <v>30</v>
      </c>
      <c r="L5" s="29" t="s">
        <v>30</v>
      </c>
      <c r="M5" s="29" t="s">
        <v>30</v>
      </c>
      <c r="N5" s="31" t="s">
        <v>30</v>
      </c>
      <c r="O5" s="29" t="s">
        <v>30</v>
      </c>
      <c r="P5" s="29" t="s">
        <v>32</v>
      </c>
      <c r="Q5" s="29" t="s">
        <v>32</v>
      </c>
      <c r="R5" s="31" t="s">
        <v>32</v>
      </c>
      <c r="S5" s="27" t="s">
        <v>33</v>
      </c>
    </row>
    <row r="6" spans="2:19" ht="15.75" x14ac:dyDescent="0.25">
      <c r="B6" s="32"/>
      <c r="C6" s="32"/>
      <c r="D6" s="32"/>
      <c r="E6" s="33"/>
      <c r="F6" s="32"/>
      <c r="G6" s="32"/>
      <c r="H6" s="34"/>
      <c r="I6" s="35"/>
      <c r="J6" s="35"/>
      <c r="K6" s="35"/>
      <c r="L6" s="35"/>
      <c r="M6" s="35"/>
      <c r="N6" s="36"/>
      <c r="O6" s="35"/>
      <c r="P6" s="35"/>
      <c r="Q6" s="35"/>
      <c r="R6" s="36"/>
      <c r="S6" s="35"/>
    </row>
    <row r="7" spans="2:19" ht="18.75" x14ac:dyDescent="0.3">
      <c r="B7" s="32"/>
      <c r="C7" s="37">
        <v>1</v>
      </c>
      <c r="D7" s="37" t="s">
        <v>34</v>
      </c>
      <c r="E7" s="33"/>
      <c r="F7" s="32"/>
      <c r="G7" s="32"/>
      <c r="H7" s="34"/>
      <c r="I7" s="35"/>
      <c r="J7" s="35"/>
      <c r="K7" s="35"/>
      <c r="L7" s="35"/>
      <c r="M7" s="35"/>
      <c r="N7" s="36"/>
      <c r="O7" s="35"/>
      <c r="P7" s="35"/>
      <c r="Q7" s="35"/>
      <c r="R7" s="36"/>
      <c r="S7" s="35"/>
    </row>
    <row r="8" spans="2:19" ht="15.75" x14ac:dyDescent="0.25">
      <c r="B8" s="32"/>
      <c r="C8" s="32"/>
      <c r="D8" s="32"/>
      <c r="E8" s="33"/>
      <c r="F8" s="32"/>
      <c r="G8" s="32"/>
      <c r="H8" s="34"/>
      <c r="I8" s="35"/>
      <c r="J8" s="35"/>
      <c r="K8" s="35"/>
      <c r="L8" s="35"/>
      <c r="M8" s="35"/>
      <c r="N8" s="36"/>
      <c r="O8" s="35"/>
      <c r="P8" s="35"/>
      <c r="Q8" s="35"/>
      <c r="R8" s="36"/>
      <c r="S8" s="35"/>
    </row>
    <row r="9" spans="2:19" ht="15.75" x14ac:dyDescent="0.25">
      <c r="B9" s="38">
        <v>1</v>
      </c>
      <c r="C9" s="38" t="s">
        <v>35</v>
      </c>
      <c r="D9" s="39" t="s">
        <v>36</v>
      </c>
      <c r="E9" s="40">
        <v>44377</v>
      </c>
      <c r="F9" s="41"/>
      <c r="G9" s="42">
        <v>10</v>
      </c>
      <c r="H9" s="43">
        <f>+F9/G9</f>
        <v>0</v>
      </c>
      <c r="I9" s="41"/>
      <c r="J9" s="41"/>
      <c r="K9" s="41"/>
      <c r="L9" s="41"/>
      <c r="M9" s="41"/>
      <c r="N9" s="43">
        <f>+M9-O9</f>
        <v>0</v>
      </c>
      <c r="O9" s="41"/>
      <c r="P9" s="44"/>
      <c r="Q9" s="44"/>
      <c r="R9" s="45">
        <f>SUM(P9:Q9)</f>
        <v>0</v>
      </c>
      <c r="S9" s="46"/>
    </row>
    <row r="10" spans="2:19" ht="15.75" x14ac:dyDescent="0.25">
      <c r="B10" s="38">
        <f>+B9+1</f>
        <v>2</v>
      </c>
      <c r="C10" s="38" t="s">
        <v>37</v>
      </c>
      <c r="D10" s="39" t="s">
        <v>38</v>
      </c>
      <c r="E10" s="40">
        <v>44377</v>
      </c>
      <c r="F10" s="41"/>
      <c r="G10" s="42">
        <v>10</v>
      </c>
      <c r="H10" s="43">
        <f>+F10/G10</f>
        <v>0</v>
      </c>
      <c r="I10" s="41"/>
      <c r="J10" s="41"/>
      <c r="K10" s="41"/>
      <c r="L10" s="41"/>
      <c r="M10" s="41"/>
      <c r="N10" s="43">
        <f>+M10-O10</f>
        <v>0</v>
      </c>
      <c r="O10" s="41"/>
      <c r="P10" s="44"/>
      <c r="Q10" s="44"/>
      <c r="R10" s="45">
        <f>SUM(P10:Q10)</f>
        <v>0</v>
      </c>
      <c r="S10" s="46"/>
    </row>
    <row r="11" spans="2:19" ht="15.75" x14ac:dyDescent="0.25">
      <c r="B11" s="38">
        <f>+B10+1</f>
        <v>3</v>
      </c>
      <c r="C11" s="38" t="s">
        <v>39</v>
      </c>
      <c r="D11" s="39" t="s">
        <v>40</v>
      </c>
      <c r="E11" s="40">
        <v>44377</v>
      </c>
      <c r="F11" s="41">
        <v>50</v>
      </c>
      <c r="G11" s="42">
        <v>10</v>
      </c>
      <c r="H11" s="43">
        <f>+F11/G11</f>
        <v>5</v>
      </c>
      <c r="I11" s="41">
        <v>71.040700000000001</v>
      </c>
      <c r="J11" s="41">
        <v>87.948701</v>
      </c>
      <c r="K11" s="41">
        <v>23.078011</v>
      </c>
      <c r="L11" s="41">
        <v>0</v>
      </c>
      <c r="M11" s="41">
        <v>20.921298</v>
      </c>
      <c r="N11" s="43">
        <f>+M11-O11</f>
        <v>0</v>
      </c>
      <c r="O11" s="41">
        <v>20.921298</v>
      </c>
      <c r="P11" s="44">
        <v>0</v>
      </c>
      <c r="Q11" s="44">
        <v>0</v>
      </c>
      <c r="R11" s="45">
        <f>SUM(P11:Q11)</f>
        <v>0</v>
      </c>
      <c r="S11" s="46">
        <v>2586</v>
      </c>
    </row>
    <row r="12" spans="2:19" ht="15.75" x14ac:dyDescent="0.25">
      <c r="B12" s="47"/>
      <c r="C12" s="47"/>
      <c r="D12" s="48"/>
      <c r="E12" s="49"/>
      <c r="F12" s="50"/>
      <c r="G12" s="51"/>
      <c r="H12" s="52"/>
      <c r="I12" s="50"/>
      <c r="J12" s="50"/>
      <c r="K12" s="50"/>
      <c r="L12" s="50"/>
      <c r="M12" s="50"/>
      <c r="N12" s="52"/>
      <c r="O12" s="50"/>
      <c r="P12" s="53"/>
      <c r="Q12" s="53"/>
      <c r="R12" s="54"/>
      <c r="S12" s="55"/>
    </row>
    <row r="14" spans="2:19" ht="18.75" x14ac:dyDescent="0.3">
      <c r="B14" s="32"/>
      <c r="C14" s="32"/>
      <c r="D14" s="56" t="s">
        <v>41</v>
      </c>
      <c r="E14" s="33"/>
      <c r="F14" s="32"/>
      <c r="G14" s="51"/>
      <c r="H14" s="57"/>
      <c r="I14" s="35"/>
      <c r="J14" s="35"/>
      <c r="K14" s="35"/>
      <c r="L14" s="35"/>
      <c r="M14" s="35"/>
      <c r="N14" s="58"/>
      <c r="O14" s="35"/>
      <c r="P14" s="35"/>
      <c r="Q14" s="35"/>
      <c r="R14" s="58"/>
      <c r="S14" s="35"/>
    </row>
    <row r="15" spans="2:19" ht="15.75" x14ac:dyDescent="0.25">
      <c r="B15" s="38">
        <v>1</v>
      </c>
      <c r="C15" s="38" t="s">
        <v>42</v>
      </c>
      <c r="D15" s="39" t="s">
        <v>43</v>
      </c>
      <c r="E15" s="40">
        <v>44377</v>
      </c>
      <c r="F15" s="41"/>
      <c r="G15" s="42">
        <v>10</v>
      </c>
      <c r="H15" s="43">
        <f>+F15/G15</f>
        <v>0</v>
      </c>
      <c r="I15" s="41"/>
      <c r="J15" s="41"/>
      <c r="K15" s="41"/>
      <c r="L15" s="41"/>
      <c r="M15" s="41"/>
      <c r="N15" s="43">
        <f>+M15-O15</f>
        <v>0</v>
      </c>
      <c r="O15" s="41"/>
      <c r="P15" s="44"/>
      <c r="Q15" s="44"/>
      <c r="R15" s="45">
        <f>SUM(P15:Q15)</f>
        <v>0</v>
      </c>
      <c r="S15" s="46"/>
    </row>
    <row r="16" spans="2:19" ht="15.75" x14ac:dyDescent="0.25">
      <c r="B16" s="38">
        <f>+B15+1</f>
        <v>2</v>
      </c>
      <c r="C16" s="38" t="s">
        <v>44</v>
      </c>
      <c r="D16" s="59" t="s">
        <v>45</v>
      </c>
      <c r="E16" s="40">
        <v>44377</v>
      </c>
      <c r="F16" s="41"/>
      <c r="G16" s="42">
        <v>10</v>
      </c>
      <c r="H16" s="43">
        <f>+F16/G16</f>
        <v>0</v>
      </c>
      <c r="I16" s="41"/>
      <c r="J16" s="41"/>
      <c r="K16" s="41"/>
      <c r="L16" s="41"/>
      <c r="M16" s="41"/>
      <c r="N16" s="43">
        <f>+M16-O16</f>
        <v>0</v>
      </c>
      <c r="O16" s="41"/>
      <c r="P16" s="44"/>
      <c r="Q16" s="44"/>
      <c r="R16" s="45">
        <f>SUM(P16:Q16)</f>
        <v>0</v>
      </c>
      <c r="S16" s="46"/>
    </row>
    <row r="17" spans="2:19" ht="15.75" x14ac:dyDescent="0.25">
      <c r="B17" s="38">
        <f>+B16+1</f>
        <v>3</v>
      </c>
      <c r="C17" s="38" t="s">
        <v>46</v>
      </c>
      <c r="D17" s="39" t="s">
        <v>47</v>
      </c>
      <c r="E17" s="40">
        <v>44377</v>
      </c>
      <c r="F17" s="41"/>
      <c r="G17" s="42">
        <v>10</v>
      </c>
      <c r="H17" s="43">
        <f>+F17/G17</f>
        <v>0</v>
      </c>
      <c r="I17" s="41"/>
      <c r="J17" s="41"/>
      <c r="K17" s="41"/>
      <c r="L17" s="41"/>
      <c r="M17" s="41"/>
      <c r="N17" s="43">
        <f>+M17-O17</f>
        <v>0</v>
      </c>
      <c r="O17" s="41"/>
      <c r="P17" s="44"/>
      <c r="Q17" s="44"/>
      <c r="R17" s="45">
        <f>SUM(P17:Q17)</f>
        <v>0</v>
      </c>
      <c r="S17" s="46"/>
    </row>
    <row r="18" spans="2:19" ht="15.75" x14ac:dyDescent="0.25">
      <c r="B18" s="32"/>
      <c r="C18" s="32"/>
      <c r="D18" s="32"/>
      <c r="E18" s="33"/>
      <c r="F18" s="32"/>
      <c r="G18" s="51"/>
      <c r="H18" s="57"/>
      <c r="I18" s="35"/>
      <c r="J18" s="35"/>
      <c r="K18" s="35"/>
      <c r="L18" s="35"/>
      <c r="M18" s="35"/>
      <c r="N18" s="58"/>
      <c r="O18" s="35"/>
      <c r="P18" s="35"/>
      <c r="Q18" s="35"/>
      <c r="R18" s="58"/>
      <c r="S18" s="35"/>
    </row>
    <row r="19" spans="2:19" s="67" customFormat="1" ht="15.75" x14ac:dyDescent="0.25">
      <c r="B19" s="38">
        <f>COUNT(B9:B18)</f>
        <v>6</v>
      </c>
      <c r="C19" s="38"/>
      <c r="D19" s="60"/>
      <c r="E19" s="40"/>
      <c r="F19" s="60">
        <f>SUM(F9:F18)</f>
        <v>50</v>
      </c>
      <c r="G19" s="61"/>
      <c r="H19" s="62">
        <f t="shared" ref="H19:O19" si="0">SUM(H9:H18)</f>
        <v>5</v>
      </c>
      <c r="I19" s="60">
        <f t="shared" si="0"/>
        <v>71.040700000000001</v>
      </c>
      <c r="J19" s="60">
        <f t="shared" si="0"/>
        <v>87.948701</v>
      </c>
      <c r="K19" s="60">
        <f t="shared" si="0"/>
        <v>23.078011</v>
      </c>
      <c r="L19" s="60">
        <f t="shared" si="0"/>
        <v>0</v>
      </c>
      <c r="M19" s="60">
        <f t="shared" si="0"/>
        <v>20.921298</v>
      </c>
      <c r="N19" s="63">
        <f t="shared" si="0"/>
        <v>0</v>
      </c>
      <c r="O19" s="60">
        <f t="shared" si="0"/>
        <v>20.921298</v>
      </c>
      <c r="P19" s="64"/>
      <c r="Q19" s="64"/>
      <c r="R19" s="65"/>
      <c r="S19" s="66">
        <f>SUM(S9:S18)</f>
        <v>2586</v>
      </c>
    </row>
    <row r="20" spans="2:19" ht="15.75" x14ac:dyDescent="0.25">
      <c r="B20" s="32"/>
      <c r="C20" s="32"/>
      <c r="D20" s="32"/>
      <c r="E20" s="33"/>
      <c r="F20" s="32"/>
      <c r="G20" s="51"/>
      <c r="H20" s="57"/>
      <c r="I20" s="35"/>
      <c r="J20" s="35"/>
      <c r="K20" s="35"/>
      <c r="L20" s="35"/>
      <c r="M20" s="35"/>
      <c r="N20" s="58"/>
      <c r="O20" s="35"/>
      <c r="P20" s="35"/>
      <c r="Q20" s="35"/>
      <c r="R20" s="58"/>
      <c r="S20" s="35"/>
    </row>
    <row r="21" spans="2:19" ht="15.75" x14ac:dyDescent="0.25">
      <c r="B21" s="32"/>
      <c r="C21" s="32"/>
      <c r="D21" s="32"/>
      <c r="E21" s="33"/>
      <c r="F21" s="32"/>
      <c r="G21" s="51"/>
      <c r="H21" s="57"/>
      <c r="I21" s="35"/>
      <c r="J21" s="35"/>
      <c r="K21" s="35"/>
      <c r="L21" s="35"/>
      <c r="M21" s="35"/>
      <c r="N21" s="58"/>
      <c r="O21" s="35"/>
      <c r="P21" s="35"/>
      <c r="Q21" s="35"/>
      <c r="R21" s="58"/>
      <c r="S21" s="35"/>
    </row>
    <row r="22" spans="2:19" ht="18.75" x14ac:dyDescent="0.3">
      <c r="B22" s="32"/>
      <c r="C22" s="37">
        <v>2</v>
      </c>
      <c r="D22" s="37" t="s">
        <v>48</v>
      </c>
      <c r="E22" s="33"/>
      <c r="F22" s="32"/>
      <c r="G22" s="51"/>
      <c r="H22" s="57"/>
      <c r="I22" s="35"/>
      <c r="J22" s="35"/>
      <c r="K22" s="35"/>
      <c r="L22" s="35"/>
      <c r="M22" s="35"/>
      <c r="N22" s="58"/>
      <c r="O22" s="35"/>
      <c r="P22" s="35"/>
      <c r="Q22" s="35"/>
      <c r="R22" s="58"/>
      <c r="S22" s="35"/>
    </row>
    <row r="23" spans="2:19" ht="15.75" x14ac:dyDescent="0.25">
      <c r="B23" s="32"/>
      <c r="C23" s="32"/>
      <c r="D23" s="32"/>
      <c r="E23" s="33"/>
      <c r="F23" s="32"/>
      <c r="G23" s="51"/>
      <c r="H23" s="57"/>
      <c r="I23" s="35"/>
      <c r="J23" s="35"/>
      <c r="K23" s="35"/>
      <c r="L23" s="35"/>
      <c r="M23" s="35"/>
      <c r="N23" s="58"/>
      <c r="O23" s="35"/>
      <c r="P23" s="35"/>
      <c r="Q23" s="35"/>
      <c r="R23" s="58"/>
      <c r="S23" s="35"/>
    </row>
    <row r="24" spans="2:19" ht="15.75" x14ac:dyDescent="0.25">
      <c r="B24" s="38">
        <v>1</v>
      </c>
      <c r="C24" s="38" t="s">
        <v>49</v>
      </c>
      <c r="D24" s="39" t="s">
        <v>50</v>
      </c>
      <c r="E24" s="40">
        <v>44377</v>
      </c>
      <c r="F24" s="41">
        <v>2200</v>
      </c>
      <c r="G24" s="42">
        <v>10</v>
      </c>
      <c r="H24" s="43">
        <f t="shared" ref="H24:H50" si="1">+F24/G24</f>
        <v>220</v>
      </c>
      <c r="I24" s="41">
        <v>5665.6829170000001</v>
      </c>
      <c r="J24" s="41">
        <v>8318.9527409999992</v>
      </c>
      <c r="K24" s="41">
        <f>3577.303454+137.435722+103.875825+12.207154</f>
        <v>3830.8221550000003</v>
      </c>
      <c r="L24" s="41">
        <v>163.328495</v>
      </c>
      <c r="M24" s="41">
        <v>532.12737200000004</v>
      </c>
      <c r="N24" s="43">
        <f t="shared" ref="N24:N50" si="2">+M24-O24</f>
        <v>0</v>
      </c>
      <c r="O24" s="41">
        <v>532.12737200000004</v>
      </c>
      <c r="P24" s="44">
        <v>15</v>
      </c>
      <c r="Q24" s="44">
        <v>0</v>
      </c>
      <c r="R24" s="45">
        <f t="shared" ref="R24:R50" si="3">SUM(P24:Q24)</f>
        <v>15</v>
      </c>
      <c r="S24" s="46">
        <v>439</v>
      </c>
    </row>
    <row r="25" spans="2:19" ht="15.75" x14ac:dyDescent="0.25">
      <c r="B25" s="38">
        <f>+B24+1</f>
        <v>2</v>
      </c>
      <c r="C25" s="38" t="s">
        <v>51</v>
      </c>
      <c r="D25" s="39" t="s">
        <v>52</v>
      </c>
      <c r="E25" s="40">
        <v>44377</v>
      </c>
      <c r="F25" s="41">
        <v>1000</v>
      </c>
      <c r="G25" s="42">
        <v>10</v>
      </c>
      <c r="H25" s="43">
        <f>+F25/G25</f>
        <v>100</v>
      </c>
      <c r="I25" s="41">
        <v>1161.367225</v>
      </c>
      <c r="J25" s="41">
        <v>1196.4021419999999</v>
      </c>
      <c r="K25" s="41">
        <v>92.794346000000004</v>
      </c>
      <c r="L25" s="41">
        <v>8.1515000000000004E-2</v>
      </c>
      <c r="M25" s="41">
        <v>41.028191999999997</v>
      </c>
      <c r="N25" s="43">
        <f>+M25-O25</f>
        <v>0</v>
      </c>
      <c r="O25" s="41">
        <v>41.028191999999997</v>
      </c>
      <c r="P25" s="44">
        <v>3.2</v>
      </c>
      <c r="Q25" s="44">
        <v>0</v>
      </c>
      <c r="R25" s="45">
        <f>SUM(P25:Q25)</f>
        <v>3.2</v>
      </c>
      <c r="S25" s="46">
        <v>295</v>
      </c>
    </row>
    <row r="26" spans="2:19" ht="15.75" x14ac:dyDescent="0.25">
      <c r="B26" s="38">
        <f>+B25+1</f>
        <v>3</v>
      </c>
      <c r="C26" s="38" t="s">
        <v>53</v>
      </c>
      <c r="D26" s="39" t="s">
        <v>54</v>
      </c>
      <c r="E26" s="40">
        <v>44377</v>
      </c>
      <c r="F26" s="41">
        <v>75.151587000000006</v>
      </c>
      <c r="G26" s="42">
        <v>10</v>
      </c>
      <c r="H26" s="43">
        <f t="shared" si="1"/>
        <v>7.5151587000000006</v>
      </c>
      <c r="I26" s="41">
        <f>143.017194+0.943805</f>
        <v>143.96099899999999</v>
      </c>
      <c r="J26" s="41">
        <v>148.957143</v>
      </c>
      <c r="K26" s="41">
        <v>12.771769000000001</v>
      </c>
      <c r="L26" s="41">
        <v>0</v>
      </c>
      <c r="M26" s="41">
        <v>5.5574640000000004</v>
      </c>
      <c r="N26" s="43">
        <f t="shared" si="2"/>
        <v>5.1374000000000031E-2</v>
      </c>
      <c r="O26" s="41">
        <v>5.5060900000000004</v>
      </c>
      <c r="P26" s="44">
        <v>5</v>
      </c>
      <c r="Q26" s="44">
        <v>0</v>
      </c>
      <c r="R26" s="45">
        <f t="shared" si="3"/>
        <v>5</v>
      </c>
      <c r="S26" s="46">
        <v>1175</v>
      </c>
    </row>
    <row r="27" spans="2:19" ht="15.75" x14ac:dyDescent="0.25">
      <c r="B27" s="38">
        <f t="shared" ref="B27:B51" si="4">+B26+1</f>
        <v>4</v>
      </c>
      <c r="C27" s="38" t="s">
        <v>55</v>
      </c>
      <c r="D27" s="39" t="s">
        <v>56</v>
      </c>
      <c r="E27" s="40">
        <v>44377</v>
      </c>
      <c r="F27" s="41">
        <v>949.98488999999995</v>
      </c>
      <c r="G27" s="42">
        <v>10</v>
      </c>
      <c r="H27" s="43">
        <f t="shared" si="1"/>
        <v>94.998488999999992</v>
      </c>
      <c r="I27" s="41">
        <v>2871.1361550000001</v>
      </c>
      <c r="J27" s="41">
        <v>3267.1030810000002</v>
      </c>
      <c r="K27" s="41">
        <v>516.93611399999998</v>
      </c>
      <c r="L27" s="41">
        <v>6.6088100000000001</v>
      </c>
      <c r="M27" s="41">
        <v>277.66332</v>
      </c>
      <c r="N27" s="43">
        <f t="shared" si="2"/>
        <v>0</v>
      </c>
      <c r="O27" s="41">
        <v>277.66332</v>
      </c>
      <c r="P27" s="44">
        <v>13.2</v>
      </c>
      <c r="Q27" s="44">
        <v>0</v>
      </c>
      <c r="R27" s="45">
        <f t="shared" si="3"/>
        <v>13.2</v>
      </c>
      <c r="S27" s="46">
        <v>7588</v>
      </c>
    </row>
    <row r="28" spans="2:19" ht="15.75" x14ac:dyDescent="0.25">
      <c r="B28" s="38">
        <f t="shared" si="4"/>
        <v>5</v>
      </c>
      <c r="C28" s="38" t="s">
        <v>57</v>
      </c>
      <c r="D28" s="39" t="s">
        <v>58</v>
      </c>
      <c r="E28" s="40">
        <v>44377</v>
      </c>
      <c r="F28" s="41">
        <v>210</v>
      </c>
      <c r="G28" s="42">
        <v>10</v>
      </c>
      <c r="H28" s="43">
        <f t="shared" si="1"/>
        <v>21</v>
      </c>
      <c r="I28" s="41">
        <f>254.489512-2.316639</f>
        <v>252.17287299999998</v>
      </c>
      <c r="J28" s="41">
        <v>272.06058400000001</v>
      </c>
      <c r="K28" s="41">
        <f>26.789875+3.937631+2.48534</f>
        <v>33.212845999999999</v>
      </c>
      <c r="L28" s="41">
        <v>1.6215E-2</v>
      </c>
      <c r="M28" s="41">
        <v>1.652263</v>
      </c>
      <c r="N28" s="43">
        <f t="shared" si="2"/>
        <v>0.99790900000000005</v>
      </c>
      <c r="O28" s="41">
        <v>0.65435399999999999</v>
      </c>
      <c r="P28" s="44">
        <v>0</v>
      </c>
      <c r="Q28" s="44">
        <v>0</v>
      </c>
      <c r="R28" s="45">
        <f t="shared" si="3"/>
        <v>0</v>
      </c>
      <c r="S28" s="46">
        <v>569</v>
      </c>
    </row>
    <row r="29" spans="2:19" ht="15.75" x14ac:dyDescent="0.25">
      <c r="B29" s="38">
        <f t="shared" si="4"/>
        <v>6</v>
      </c>
      <c r="C29" s="38" t="s">
        <v>59</v>
      </c>
      <c r="D29" s="39" t="s">
        <v>60</v>
      </c>
      <c r="E29" s="40">
        <v>44377</v>
      </c>
      <c r="F29" s="41"/>
      <c r="G29" s="42">
        <v>10</v>
      </c>
      <c r="H29" s="43">
        <f t="shared" si="1"/>
        <v>0</v>
      </c>
      <c r="I29" s="41"/>
      <c r="J29" s="41"/>
      <c r="K29" s="41"/>
      <c r="L29" s="41"/>
      <c r="M29" s="41"/>
      <c r="N29" s="43">
        <f t="shared" si="2"/>
        <v>0</v>
      </c>
      <c r="O29" s="41"/>
      <c r="P29" s="44"/>
      <c r="Q29" s="44"/>
      <c r="R29" s="45">
        <f t="shared" si="3"/>
        <v>0</v>
      </c>
      <c r="S29" s="46"/>
    </row>
    <row r="30" spans="2:19" ht="15.75" x14ac:dyDescent="0.25">
      <c r="B30" s="38">
        <f t="shared" si="4"/>
        <v>7</v>
      </c>
      <c r="C30" s="38" t="s">
        <v>61</v>
      </c>
      <c r="D30" s="39" t="s">
        <v>62</v>
      </c>
      <c r="E30" s="40">
        <v>44377</v>
      </c>
      <c r="F30" s="41">
        <v>113.4</v>
      </c>
      <c r="G30" s="42">
        <v>10</v>
      </c>
      <c r="H30" s="43">
        <f t="shared" si="1"/>
        <v>11.34</v>
      </c>
      <c r="I30" s="41">
        <v>113.38842</v>
      </c>
      <c r="J30" s="41">
        <v>185.81621000000001</v>
      </c>
      <c r="K30" s="41">
        <v>48.222659</v>
      </c>
      <c r="L30" s="41">
        <v>5.9439999999999996E-3</v>
      </c>
      <c r="M30" s="41">
        <v>5.3768269999999996</v>
      </c>
      <c r="N30" s="43">
        <f t="shared" si="2"/>
        <v>1.1164549999999993</v>
      </c>
      <c r="O30" s="41">
        <v>4.2603720000000003</v>
      </c>
      <c r="P30" s="44">
        <v>3</v>
      </c>
      <c r="Q30" s="44">
        <v>0</v>
      </c>
      <c r="R30" s="45">
        <f t="shared" si="3"/>
        <v>3</v>
      </c>
      <c r="S30" s="46">
        <v>4366</v>
      </c>
    </row>
    <row r="31" spans="2:19" ht="15.75" x14ac:dyDescent="0.25">
      <c r="B31" s="38">
        <f t="shared" si="4"/>
        <v>8</v>
      </c>
      <c r="C31" s="38" t="s">
        <v>63</v>
      </c>
      <c r="D31" s="39" t="s">
        <v>64</v>
      </c>
      <c r="E31" s="40">
        <v>44377</v>
      </c>
      <c r="F31" s="41">
        <v>524.4</v>
      </c>
      <c r="G31" s="42">
        <v>10</v>
      </c>
      <c r="H31" s="43">
        <f t="shared" si="1"/>
        <v>52.44</v>
      </c>
      <c r="I31" s="41">
        <v>666.245271</v>
      </c>
      <c r="J31" s="41">
        <v>723.96504500000003</v>
      </c>
      <c r="K31" s="41">
        <v>31.044308999999998</v>
      </c>
      <c r="L31" s="41">
        <v>1.0126E-2</v>
      </c>
      <c r="M31" s="41">
        <v>16.421036000000001</v>
      </c>
      <c r="N31" s="43">
        <f t="shared" si="2"/>
        <v>0</v>
      </c>
      <c r="O31" s="41">
        <v>16.421036000000001</v>
      </c>
      <c r="P31" s="44">
        <v>5</v>
      </c>
      <c r="Q31" s="44">
        <v>0</v>
      </c>
      <c r="R31" s="45">
        <f t="shared" si="3"/>
        <v>5</v>
      </c>
      <c r="S31" s="46">
        <v>4907</v>
      </c>
    </row>
    <row r="32" spans="2:19" ht="15.75" x14ac:dyDescent="0.25">
      <c r="B32" s="38">
        <f t="shared" si="4"/>
        <v>9</v>
      </c>
      <c r="C32" s="38" t="s">
        <v>65</v>
      </c>
      <c r="D32" s="39" t="s">
        <v>66</v>
      </c>
      <c r="E32" s="40">
        <v>44377</v>
      </c>
      <c r="F32" s="41">
        <v>264.13803999999999</v>
      </c>
      <c r="G32" s="42">
        <v>10</v>
      </c>
      <c r="H32" s="43">
        <f t="shared" si="1"/>
        <v>26.413803999999999</v>
      </c>
      <c r="I32" s="41">
        <v>333.44308799999999</v>
      </c>
      <c r="J32" s="41">
        <v>374.39067899999998</v>
      </c>
      <c r="K32" s="41">
        <v>24.025849000000001</v>
      </c>
      <c r="L32" s="41">
        <v>0</v>
      </c>
      <c r="M32" s="41">
        <v>-2.9071720000000001</v>
      </c>
      <c r="N32" s="43">
        <f t="shared" si="2"/>
        <v>0</v>
      </c>
      <c r="O32" s="41">
        <v>-2.9071720000000001</v>
      </c>
      <c r="P32" s="44">
        <v>0</v>
      </c>
      <c r="Q32" s="44">
        <v>0</v>
      </c>
      <c r="R32" s="45">
        <f t="shared" si="3"/>
        <v>0</v>
      </c>
      <c r="S32" s="46">
        <v>7376</v>
      </c>
    </row>
    <row r="33" spans="2:19" ht="15.75" x14ac:dyDescent="0.25">
      <c r="B33" s="38">
        <f t="shared" si="4"/>
        <v>10</v>
      </c>
      <c r="C33" s="38" t="s">
        <v>67</v>
      </c>
      <c r="D33" s="39" t="s">
        <v>68</v>
      </c>
      <c r="E33" s="40">
        <v>44377</v>
      </c>
      <c r="F33" s="41">
        <v>1008</v>
      </c>
      <c r="G33" s="42">
        <v>5</v>
      </c>
      <c r="H33" s="43">
        <f t="shared" si="1"/>
        <v>201.6</v>
      </c>
      <c r="I33" s="41">
        <f>3627.067813+201.27883</f>
        <v>3828.3466430000003</v>
      </c>
      <c r="J33" s="41">
        <v>12122.53371</v>
      </c>
      <c r="K33" s="41">
        <f>129.761238+796.46507+103.525925</f>
        <v>1029.7522329999999</v>
      </c>
      <c r="L33" s="41">
        <v>423.01834400000001</v>
      </c>
      <c r="M33" s="41">
        <v>363.14815199999998</v>
      </c>
      <c r="N33" s="43">
        <f t="shared" si="2"/>
        <v>0</v>
      </c>
      <c r="O33" s="41">
        <v>363.14815199999998</v>
      </c>
      <c r="P33" s="44">
        <v>28</v>
      </c>
      <c r="Q33" s="44">
        <v>0</v>
      </c>
      <c r="R33" s="45">
        <f t="shared" si="3"/>
        <v>28</v>
      </c>
      <c r="S33" s="46">
        <v>4653</v>
      </c>
    </row>
    <row r="34" spans="2:19" ht="15.75" x14ac:dyDescent="0.25">
      <c r="B34" s="38">
        <f t="shared" si="4"/>
        <v>11</v>
      </c>
      <c r="C34" s="38" t="s">
        <v>69</v>
      </c>
      <c r="D34" s="39" t="s">
        <v>70</v>
      </c>
      <c r="E34" s="40">
        <v>44377</v>
      </c>
      <c r="F34" s="41">
        <v>216.875</v>
      </c>
      <c r="G34" s="42">
        <v>10</v>
      </c>
      <c r="H34" s="43">
        <f t="shared" si="1"/>
        <v>21.6875</v>
      </c>
      <c r="I34" s="41">
        <v>193.786022</v>
      </c>
      <c r="J34" s="41">
        <v>212.06948</v>
      </c>
      <c r="K34" s="41">
        <v>24.258583000000002</v>
      </c>
      <c r="L34" s="41">
        <v>1.0698080000000001</v>
      </c>
      <c r="M34" s="41">
        <v>2.91777</v>
      </c>
      <c r="N34" s="43">
        <f t="shared" si="2"/>
        <v>0</v>
      </c>
      <c r="O34" s="41">
        <v>2.91777</v>
      </c>
      <c r="P34" s="44">
        <v>0</v>
      </c>
      <c r="Q34" s="44">
        <v>0</v>
      </c>
      <c r="R34" s="45">
        <f t="shared" si="3"/>
        <v>0</v>
      </c>
      <c r="S34" s="46">
        <v>1205</v>
      </c>
    </row>
    <row r="35" spans="2:19" ht="15.75" x14ac:dyDescent="0.25">
      <c r="B35" s="38">
        <f t="shared" si="4"/>
        <v>12</v>
      </c>
      <c r="C35" s="38" t="s">
        <v>71</v>
      </c>
      <c r="D35" s="39" t="s">
        <v>72</v>
      </c>
      <c r="E35" s="40">
        <v>44377</v>
      </c>
      <c r="F35" s="41">
        <v>30</v>
      </c>
      <c r="G35" s="42">
        <v>10</v>
      </c>
      <c r="H35" s="43">
        <f t="shared" si="1"/>
        <v>3</v>
      </c>
      <c r="I35" s="41">
        <v>202.38216399999999</v>
      </c>
      <c r="J35" s="41">
        <v>598.86081100000001</v>
      </c>
      <c r="K35" s="41">
        <v>1080.0030509999999</v>
      </c>
      <c r="L35" s="41">
        <v>5.2865669999999998</v>
      </c>
      <c r="M35" s="41">
        <v>113.19234400000001</v>
      </c>
      <c r="N35" s="43">
        <f t="shared" si="2"/>
        <v>49.007027000000008</v>
      </c>
      <c r="O35" s="41">
        <v>64.185316999999998</v>
      </c>
      <c r="P35" s="44">
        <v>155</v>
      </c>
      <c r="Q35" s="44">
        <v>0</v>
      </c>
      <c r="R35" s="45">
        <f t="shared" si="3"/>
        <v>155</v>
      </c>
      <c r="S35" s="46">
        <v>369</v>
      </c>
    </row>
    <row r="36" spans="2:19" ht="15.75" x14ac:dyDescent="0.25">
      <c r="B36" s="38">
        <f t="shared" si="4"/>
        <v>13</v>
      </c>
      <c r="C36" s="38" t="s">
        <v>73</v>
      </c>
      <c r="D36" s="59" t="s">
        <v>74</v>
      </c>
      <c r="E36" s="40">
        <v>44377</v>
      </c>
      <c r="F36" s="41">
        <v>340.2</v>
      </c>
      <c r="G36" s="42">
        <v>10</v>
      </c>
      <c r="H36" s="43">
        <f t="shared" si="1"/>
        <v>34.019999999999996</v>
      </c>
      <c r="I36" s="41">
        <v>144.71898200000001</v>
      </c>
      <c r="J36" s="41">
        <v>1948.018399</v>
      </c>
      <c r="K36" s="41">
        <v>153.022355</v>
      </c>
      <c r="L36" s="41">
        <v>119.204898</v>
      </c>
      <c r="M36" s="41">
        <v>8.9406330000000001</v>
      </c>
      <c r="N36" s="43">
        <f t="shared" si="2"/>
        <v>1.5198830000000001</v>
      </c>
      <c r="O36" s="41">
        <v>7.42075</v>
      </c>
      <c r="P36" s="44">
        <v>0</v>
      </c>
      <c r="Q36" s="44">
        <v>0</v>
      </c>
      <c r="R36" s="45">
        <f t="shared" si="3"/>
        <v>0</v>
      </c>
      <c r="S36" s="46">
        <v>4193</v>
      </c>
    </row>
    <row r="37" spans="2:19" ht="15.75" x14ac:dyDescent="0.25">
      <c r="B37" s="38">
        <f t="shared" si="4"/>
        <v>14</v>
      </c>
      <c r="C37" s="38" t="s">
        <v>75</v>
      </c>
      <c r="D37" s="39" t="s">
        <v>76</v>
      </c>
      <c r="E37" s="40">
        <v>44377</v>
      </c>
      <c r="F37" s="41">
        <v>137.88419300000001</v>
      </c>
      <c r="G37" s="42">
        <v>10</v>
      </c>
      <c r="H37" s="43">
        <f t="shared" si="1"/>
        <v>13.788419300000001</v>
      </c>
      <c r="I37" s="41">
        <v>211.160259</v>
      </c>
      <c r="J37" s="41">
        <v>458.27522699999997</v>
      </c>
      <c r="K37" s="41">
        <f>108.353461+4.25535</f>
        <v>112.608811</v>
      </c>
      <c r="L37" s="41">
        <v>12.018302</v>
      </c>
      <c r="M37" s="41">
        <v>7.7030799999999999</v>
      </c>
      <c r="N37" s="43">
        <f t="shared" si="2"/>
        <v>0</v>
      </c>
      <c r="O37" s="41">
        <v>7.7030799999999999</v>
      </c>
      <c r="P37" s="44">
        <v>4.5</v>
      </c>
      <c r="Q37" s="44">
        <v>0</v>
      </c>
      <c r="R37" s="45">
        <f t="shared" si="3"/>
        <v>4.5</v>
      </c>
      <c r="S37" s="46">
        <v>1279</v>
      </c>
    </row>
    <row r="38" spans="2:19" ht="15.75" x14ac:dyDescent="0.25">
      <c r="B38" s="38">
        <f t="shared" si="4"/>
        <v>15</v>
      </c>
      <c r="C38" s="38" t="s">
        <v>77</v>
      </c>
      <c r="D38" s="39" t="s">
        <v>78</v>
      </c>
      <c r="E38" s="40">
        <v>44377</v>
      </c>
      <c r="F38" s="41">
        <v>7000</v>
      </c>
      <c r="G38" s="42">
        <v>10</v>
      </c>
      <c r="H38" s="43">
        <f>+F38/G38</f>
        <v>700</v>
      </c>
      <c r="I38" s="41">
        <v>4913.3999999999996</v>
      </c>
      <c r="J38" s="41">
        <v>11999.821</v>
      </c>
      <c r="K38" s="41">
        <v>6094.8630000000003</v>
      </c>
      <c r="L38" s="41">
        <v>789.99199999999996</v>
      </c>
      <c r="M38" s="41">
        <v>-535.73800000000006</v>
      </c>
      <c r="N38" s="43">
        <f>+M38-O38</f>
        <v>81.731999999999971</v>
      </c>
      <c r="O38" s="41">
        <v>-617.47</v>
      </c>
      <c r="P38" s="44">
        <v>0</v>
      </c>
      <c r="Q38" s="44">
        <v>0</v>
      </c>
      <c r="R38" s="45">
        <f>SUM(P38:Q38)</f>
        <v>0</v>
      </c>
      <c r="S38" s="46">
        <v>192</v>
      </c>
    </row>
    <row r="39" spans="2:19" ht="15.75" x14ac:dyDescent="0.25">
      <c r="B39" s="38">
        <f t="shared" si="4"/>
        <v>16</v>
      </c>
      <c r="C39" s="38" t="s">
        <v>79</v>
      </c>
      <c r="D39" s="39" t="s">
        <v>80</v>
      </c>
      <c r="E39" s="40">
        <v>44377</v>
      </c>
      <c r="F39" s="41">
        <v>211.63104000000001</v>
      </c>
      <c r="G39" s="42">
        <v>10</v>
      </c>
      <c r="H39" s="43">
        <f t="shared" si="1"/>
        <v>21.163104000000001</v>
      </c>
      <c r="I39" s="41">
        <f>193.763057-1.520169</f>
        <v>192.24288799999999</v>
      </c>
      <c r="J39" s="41">
        <v>211.246005</v>
      </c>
      <c r="K39" s="41">
        <f>39.363176+0.106036</f>
        <v>39.469212000000006</v>
      </c>
      <c r="L39" s="41">
        <v>2.8779999999999999E-3</v>
      </c>
      <c r="M39" s="41">
        <v>13.489549999999999</v>
      </c>
      <c r="N39" s="43">
        <f t="shared" si="2"/>
        <v>0</v>
      </c>
      <c r="O39" s="41">
        <v>13.489549999999999</v>
      </c>
      <c r="P39" s="44">
        <v>6</v>
      </c>
      <c r="Q39" s="44">
        <v>0</v>
      </c>
      <c r="R39" s="45">
        <f t="shared" si="3"/>
        <v>6</v>
      </c>
      <c r="S39" s="46">
        <v>2560</v>
      </c>
    </row>
    <row r="40" spans="2:19" ht="15.75" x14ac:dyDescent="0.25">
      <c r="B40" s="38">
        <f t="shared" si="4"/>
        <v>17</v>
      </c>
      <c r="C40" s="38" t="s">
        <v>81</v>
      </c>
      <c r="D40" s="39" t="s">
        <v>82</v>
      </c>
      <c r="E40" s="40">
        <v>44377</v>
      </c>
      <c r="F40" s="41">
        <v>351.20548000000002</v>
      </c>
      <c r="G40" s="42">
        <v>10</v>
      </c>
      <c r="H40" s="43">
        <f t="shared" si="1"/>
        <v>35.120547999999999</v>
      </c>
      <c r="I40" s="41">
        <f>567.607321+46.824196</f>
        <v>614.43151699999999</v>
      </c>
      <c r="J40" s="41">
        <v>795.97185500000001</v>
      </c>
      <c r="K40" s="41">
        <v>72.583797000000004</v>
      </c>
      <c r="L40" s="41">
        <v>8.4477999999999998E-2</v>
      </c>
      <c r="M40" s="41">
        <v>29.649784</v>
      </c>
      <c r="N40" s="43">
        <f t="shared" si="2"/>
        <v>0</v>
      </c>
      <c r="O40" s="41">
        <v>29.649784</v>
      </c>
      <c r="P40" s="44">
        <v>11</v>
      </c>
      <c r="Q40" s="44">
        <v>0</v>
      </c>
      <c r="R40" s="45">
        <f t="shared" si="3"/>
        <v>11</v>
      </c>
      <c r="S40" s="46">
        <v>3291</v>
      </c>
    </row>
    <row r="41" spans="2:19" ht="15.75" x14ac:dyDescent="0.25">
      <c r="B41" s="38">
        <f t="shared" si="4"/>
        <v>18</v>
      </c>
      <c r="C41" s="38" t="s">
        <v>83</v>
      </c>
      <c r="D41" s="39" t="s">
        <v>84</v>
      </c>
      <c r="E41" s="40">
        <v>44377</v>
      </c>
      <c r="F41" s="41">
        <v>480.66480000000001</v>
      </c>
      <c r="G41" s="42">
        <v>10</v>
      </c>
      <c r="H41" s="43">
        <f t="shared" si="1"/>
        <v>48.066479999999999</v>
      </c>
      <c r="I41" s="41">
        <v>168.75701000000001</v>
      </c>
      <c r="J41" s="41">
        <v>247.38985600000001</v>
      </c>
      <c r="K41" s="41">
        <f>3.180931+9.718048+2.884603+38.426119+5.842668</f>
        <v>60.052368999999999</v>
      </c>
      <c r="L41" s="41">
        <v>5.8052710000000003</v>
      </c>
      <c r="M41" s="41">
        <v>29.203023999999999</v>
      </c>
      <c r="N41" s="43">
        <f t="shared" si="2"/>
        <v>0</v>
      </c>
      <c r="O41" s="41">
        <v>29.203023999999999</v>
      </c>
      <c r="P41" s="44">
        <v>4.8</v>
      </c>
      <c r="Q41" s="44">
        <v>0</v>
      </c>
      <c r="R41" s="45">
        <f t="shared" si="3"/>
        <v>4.8</v>
      </c>
      <c r="S41" s="46">
        <v>1235</v>
      </c>
    </row>
    <row r="42" spans="2:19" ht="15.75" x14ac:dyDescent="0.25">
      <c r="B42" s="38">
        <f t="shared" si="4"/>
        <v>19</v>
      </c>
      <c r="C42" s="38" t="s">
        <v>85</v>
      </c>
      <c r="D42" s="39" t="s">
        <v>86</v>
      </c>
      <c r="E42" s="40">
        <v>44377</v>
      </c>
      <c r="F42" s="41">
        <v>184.23945000000001</v>
      </c>
      <c r="G42" s="42">
        <v>10</v>
      </c>
      <c r="H42" s="43">
        <f t="shared" si="1"/>
        <v>18.423945</v>
      </c>
      <c r="I42" s="41">
        <v>269.64181600000001</v>
      </c>
      <c r="J42" s="41">
        <v>289.39193999999998</v>
      </c>
      <c r="K42" s="41">
        <f>47.867549+0.024336</f>
        <v>47.891884999999995</v>
      </c>
      <c r="L42" s="41">
        <v>0</v>
      </c>
      <c r="M42" s="41">
        <v>34.586305000000003</v>
      </c>
      <c r="N42" s="43">
        <f t="shared" si="2"/>
        <v>0.80046800000000218</v>
      </c>
      <c r="O42" s="41">
        <v>33.785837000000001</v>
      </c>
      <c r="P42" s="44">
        <v>3.7</v>
      </c>
      <c r="Q42" s="44">
        <v>0</v>
      </c>
      <c r="R42" s="45">
        <f t="shared" si="3"/>
        <v>3.7</v>
      </c>
      <c r="S42" s="46">
        <v>3520</v>
      </c>
    </row>
    <row r="43" spans="2:19" ht="15.75" x14ac:dyDescent="0.25">
      <c r="B43" s="38">
        <f t="shared" si="4"/>
        <v>20</v>
      </c>
      <c r="C43" s="38" t="s">
        <v>87</v>
      </c>
      <c r="D43" s="59" t="s">
        <v>88</v>
      </c>
      <c r="E43" s="40">
        <v>44377</v>
      </c>
      <c r="F43" s="41">
        <v>125.4</v>
      </c>
      <c r="G43" s="42">
        <v>10</v>
      </c>
      <c r="H43" s="43">
        <f t="shared" si="1"/>
        <v>12.540000000000001</v>
      </c>
      <c r="I43" s="41">
        <v>62.374716999999997</v>
      </c>
      <c r="J43" s="41">
        <v>125.395284</v>
      </c>
      <c r="K43" s="41">
        <v>9.0540339999999997</v>
      </c>
      <c r="L43" s="41">
        <v>0.12678400000000001</v>
      </c>
      <c r="M43" s="41">
        <v>0.26780500000000002</v>
      </c>
      <c r="N43" s="43">
        <f t="shared" si="2"/>
        <v>0</v>
      </c>
      <c r="O43" s="41">
        <v>0.26780500000000002</v>
      </c>
      <c r="P43" s="44">
        <v>0</v>
      </c>
      <c r="Q43" s="44">
        <v>0</v>
      </c>
      <c r="R43" s="45">
        <f t="shared" si="3"/>
        <v>0</v>
      </c>
      <c r="S43" s="46">
        <v>4028</v>
      </c>
    </row>
    <row r="44" spans="2:19" ht="15.75" x14ac:dyDescent="0.25">
      <c r="B44" s="38">
        <f t="shared" si="4"/>
        <v>21</v>
      </c>
      <c r="C44" s="38" t="s">
        <v>89</v>
      </c>
      <c r="D44" s="59" t="s">
        <v>90</v>
      </c>
      <c r="E44" s="40">
        <v>44377</v>
      </c>
      <c r="F44" s="41">
        <v>872.17668000000003</v>
      </c>
      <c r="G44" s="42">
        <v>10</v>
      </c>
      <c r="H44" s="43">
        <f t="shared" si="1"/>
        <v>87.217668000000003</v>
      </c>
      <c r="I44" s="41">
        <v>440.43352499999997</v>
      </c>
      <c r="J44" s="41">
        <v>548.80474400000003</v>
      </c>
      <c r="K44" s="41">
        <v>45.524413000000003</v>
      </c>
      <c r="L44" s="41">
        <v>0.74820799999999998</v>
      </c>
      <c r="M44" s="41">
        <v>9.3762640000000008</v>
      </c>
      <c r="N44" s="43">
        <f t="shared" si="2"/>
        <v>0</v>
      </c>
      <c r="O44" s="41">
        <v>9.3762640000000008</v>
      </c>
      <c r="P44" s="44">
        <v>0.8</v>
      </c>
      <c r="Q44" s="44">
        <v>0</v>
      </c>
      <c r="R44" s="45">
        <f t="shared" si="3"/>
        <v>0.8</v>
      </c>
      <c r="S44" s="46">
        <v>10798</v>
      </c>
    </row>
    <row r="45" spans="2:19" ht="15.75" x14ac:dyDescent="0.25">
      <c r="B45" s="38">
        <f t="shared" si="4"/>
        <v>22</v>
      </c>
      <c r="C45" s="38" t="s">
        <v>91</v>
      </c>
      <c r="D45" s="59" t="s">
        <v>92</v>
      </c>
      <c r="E45" s="40">
        <v>44377</v>
      </c>
      <c r="F45" s="41">
        <v>300</v>
      </c>
      <c r="G45" s="42">
        <v>10</v>
      </c>
      <c r="H45" s="43">
        <f t="shared" si="1"/>
        <v>30</v>
      </c>
      <c r="I45" s="41">
        <v>327.13002799999998</v>
      </c>
      <c r="J45" s="41">
        <v>349.67897699999997</v>
      </c>
      <c r="K45" s="41">
        <v>36.762053999999999</v>
      </c>
      <c r="L45" s="41">
        <v>0.144344</v>
      </c>
      <c r="M45" s="41">
        <v>16.259245</v>
      </c>
      <c r="N45" s="43">
        <f t="shared" si="2"/>
        <v>0</v>
      </c>
      <c r="O45" s="41">
        <v>16.259245</v>
      </c>
      <c r="P45" s="44">
        <v>4</v>
      </c>
      <c r="Q45" s="44">
        <v>0</v>
      </c>
      <c r="R45" s="45">
        <f t="shared" ref="R45" si="5">SUM(P45:Q45)</f>
        <v>4</v>
      </c>
      <c r="S45" s="46">
        <v>943</v>
      </c>
    </row>
    <row r="46" spans="2:19" ht="15.75" x14ac:dyDescent="0.25">
      <c r="B46" s="38">
        <f t="shared" si="4"/>
        <v>23</v>
      </c>
      <c r="C46" s="38" t="s">
        <v>93</v>
      </c>
      <c r="D46" s="59" t="s">
        <v>94</v>
      </c>
      <c r="E46" s="40">
        <v>44377</v>
      </c>
      <c r="F46" s="41">
        <v>100</v>
      </c>
      <c r="G46" s="42">
        <v>10</v>
      </c>
      <c r="H46" s="43">
        <f>+F46/G46</f>
        <v>10</v>
      </c>
      <c r="I46" s="41">
        <v>91.678888999999998</v>
      </c>
      <c r="J46" s="41">
        <v>129.50270499999999</v>
      </c>
      <c r="K46" s="41">
        <f>39.984156+0.553304</f>
        <v>40.537459999999996</v>
      </c>
      <c r="L46" s="41">
        <v>0</v>
      </c>
      <c r="M46" s="41">
        <v>7.5899590000000003</v>
      </c>
      <c r="N46" s="43">
        <f>+M46-O46</f>
        <v>0</v>
      </c>
      <c r="O46" s="41">
        <v>7.5899590000000003</v>
      </c>
      <c r="P46" s="44">
        <v>4.0339999999999998</v>
      </c>
      <c r="Q46" s="44">
        <v>0</v>
      </c>
      <c r="R46" s="45">
        <f>SUM(P46:Q46)</f>
        <v>4.0339999999999998</v>
      </c>
      <c r="S46" s="46">
        <v>1029</v>
      </c>
    </row>
    <row r="47" spans="2:19" ht="15.75" x14ac:dyDescent="0.25">
      <c r="B47" s="38">
        <f t="shared" si="4"/>
        <v>24</v>
      </c>
      <c r="C47" s="38" t="s">
        <v>95</v>
      </c>
      <c r="D47" s="59" t="s">
        <v>96</v>
      </c>
      <c r="E47" s="40">
        <v>44377</v>
      </c>
      <c r="F47" s="41">
        <v>750</v>
      </c>
      <c r="G47" s="42">
        <v>10</v>
      </c>
      <c r="H47" s="43">
        <f>+F47/G47</f>
        <v>75</v>
      </c>
      <c r="I47" s="41">
        <v>970.618785</v>
      </c>
      <c r="J47" s="41">
        <v>2075.1883250000001</v>
      </c>
      <c r="K47" s="41">
        <f>1351.445596+4.737125</f>
        <v>1356.1827210000001</v>
      </c>
      <c r="L47" s="41">
        <v>63.000056999999998</v>
      </c>
      <c r="M47" s="41">
        <v>185.206131</v>
      </c>
      <c r="N47" s="43">
        <f>+M47-O47</f>
        <v>28.74088900000001</v>
      </c>
      <c r="O47" s="41">
        <v>156.46524199999999</v>
      </c>
      <c r="P47" s="44">
        <v>10</v>
      </c>
      <c r="Q47" s="44">
        <v>0</v>
      </c>
      <c r="R47" s="45">
        <f>SUM(P47:Q47)</f>
        <v>10</v>
      </c>
      <c r="S47" s="46">
        <v>733</v>
      </c>
    </row>
    <row r="48" spans="2:19" ht="15.75" x14ac:dyDescent="0.25">
      <c r="B48" s="38">
        <f t="shared" si="4"/>
        <v>25</v>
      </c>
      <c r="C48" s="38" t="s">
        <v>97</v>
      </c>
      <c r="D48" s="39" t="s">
        <v>98</v>
      </c>
      <c r="E48" s="40">
        <v>44377</v>
      </c>
      <c r="F48" s="41">
        <v>453.83530000000002</v>
      </c>
      <c r="G48" s="42">
        <v>10</v>
      </c>
      <c r="H48" s="43">
        <f t="shared" si="1"/>
        <v>45.38353</v>
      </c>
      <c r="I48" s="41">
        <v>1158.6721010000001</v>
      </c>
      <c r="J48" s="41">
        <v>6750.2926809999999</v>
      </c>
      <c r="K48" s="41">
        <f>1682.389672+72.070341</f>
        <v>1754.4600130000001</v>
      </c>
      <c r="L48" s="41">
        <v>328.90984300000002</v>
      </c>
      <c r="M48" s="41">
        <v>152.51889299999999</v>
      </c>
      <c r="N48" s="43">
        <f t="shared" si="2"/>
        <v>0</v>
      </c>
      <c r="O48" s="41">
        <v>152.51889299999999</v>
      </c>
      <c r="P48" s="44">
        <v>29</v>
      </c>
      <c r="Q48" s="44">
        <v>0</v>
      </c>
      <c r="R48" s="45">
        <f t="shared" si="3"/>
        <v>29</v>
      </c>
      <c r="S48" s="46">
        <v>8408</v>
      </c>
    </row>
    <row r="49" spans="2:19" ht="15.75" x14ac:dyDescent="0.25">
      <c r="B49" s="38">
        <f t="shared" si="4"/>
        <v>26</v>
      </c>
      <c r="C49" s="38" t="s">
        <v>99</v>
      </c>
      <c r="D49" s="39" t="s">
        <v>100</v>
      </c>
      <c r="E49" s="40">
        <v>44377</v>
      </c>
      <c r="F49" s="41">
        <v>450</v>
      </c>
      <c r="G49" s="42">
        <v>10</v>
      </c>
      <c r="H49" s="43">
        <f t="shared" si="1"/>
        <v>45</v>
      </c>
      <c r="I49" s="41">
        <v>1625.0569640000001</v>
      </c>
      <c r="J49" s="41">
        <v>1657.15374</v>
      </c>
      <c r="K49" s="41">
        <f>138.244547+0.336645</f>
        <v>138.58119200000002</v>
      </c>
      <c r="L49" s="41">
        <v>0</v>
      </c>
      <c r="M49" s="41">
        <v>75.822337000000005</v>
      </c>
      <c r="N49" s="43">
        <f t="shared" si="2"/>
        <v>0</v>
      </c>
      <c r="O49" s="41">
        <v>75.822337000000005</v>
      </c>
      <c r="P49" s="44">
        <v>10</v>
      </c>
      <c r="Q49" s="44">
        <v>0</v>
      </c>
      <c r="R49" s="45">
        <f t="shared" si="3"/>
        <v>10</v>
      </c>
      <c r="S49" s="46">
        <v>846</v>
      </c>
    </row>
    <row r="50" spans="2:19" ht="15.75" x14ac:dyDescent="0.25">
      <c r="B50" s="38">
        <f t="shared" si="4"/>
        <v>27</v>
      </c>
      <c r="C50" s="38" t="s">
        <v>101</v>
      </c>
      <c r="D50" s="39" t="s">
        <v>102</v>
      </c>
      <c r="E50" s="40">
        <v>44377</v>
      </c>
      <c r="F50" s="41">
        <v>298</v>
      </c>
      <c r="G50" s="42">
        <v>10</v>
      </c>
      <c r="H50" s="43">
        <f t="shared" si="1"/>
        <v>29.8</v>
      </c>
      <c r="I50" s="41">
        <v>315.61173600000001</v>
      </c>
      <c r="J50" s="41">
        <v>378.81031899999999</v>
      </c>
      <c r="K50" s="41">
        <v>45.463017000000001</v>
      </c>
      <c r="L50" s="41">
        <v>0</v>
      </c>
      <c r="M50" s="41">
        <v>7.9530440000000002</v>
      </c>
      <c r="N50" s="43">
        <f t="shared" si="2"/>
        <v>1.3464780000000003</v>
      </c>
      <c r="O50" s="41">
        <v>6.6065659999999999</v>
      </c>
      <c r="P50" s="44">
        <v>0</v>
      </c>
      <c r="Q50" s="44">
        <v>0</v>
      </c>
      <c r="R50" s="45">
        <f t="shared" si="3"/>
        <v>0</v>
      </c>
      <c r="S50" s="46">
        <v>2512</v>
      </c>
    </row>
    <row r="51" spans="2:19" ht="15.75" x14ac:dyDescent="0.25">
      <c r="B51" s="38">
        <f t="shared" si="4"/>
        <v>28</v>
      </c>
      <c r="C51" s="38" t="s">
        <v>103</v>
      </c>
      <c r="D51" s="39" t="s">
        <v>104</v>
      </c>
      <c r="E51" s="40">
        <v>44377</v>
      </c>
      <c r="F51" s="41">
        <v>236.4</v>
      </c>
      <c r="G51" s="42">
        <v>10</v>
      </c>
      <c r="H51" s="43">
        <f>+F51/G51</f>
        <v>23.64</v>
      </c>
      <c r="I51" s="41">
        <v>186.4</v>
      </c>
      <c r="J51" s="41">
        <v>55.195115000000001</v>
      </c>
      <c r="K51" s="41">
        <v>1.9</v>
      </c>
      <c r="L51" s="41">
        <v>0</v>
      </c>
      <c r="M51" s="41">
        <v>-0.35766799999999999</v>
      </c>
      <c r="N51" s="43">
        <f>+M51-O51</f>
        <v>0</v>
      </c>
      <c r="O51" s="41">
        <v>-0.35766799999999999</v>
      </c>
      <c r="P51" s="44">
        <v>0</v>
      </c>
      <c r="Q51" s="44">
        <v>0</v>
      </c>
      <c r="R51" s="45">
        <f>SUM(P51:Q51)</f>
        <v>0</v>
      </c>
      <c r="S51" s="46"/>
    </row>
    <row r="52" spans="2:19" ht="15.75" x14ac:dyDescent="0.25">
      <c r="B52" s="32"/>
      <c r="C52" s="32"/>
      <c r="D52" s="32"/>
      <c r="E52" s="33"/>
      <c r="F52" s="32"/>
      <c r="G52" s="51"/>
      <c r="H52" s="57"/>
      <c r="I52" s="35"/>
      <c r="J52" s="35"/>
      <c r="K52" s="35"/>
      <c r="L52" s="35"/>
      <c r="M52" s="35"/>
      <c r="N52" s="58"/>
      <c r="O52" s="35"/>
      <c r="P52" s="35"/>
      <c r="Q52" s="35"/>
      <c r="R52" s="58"/>
      <c r="S52" s="35"/>
    </row>
    <row r="53" spans="2:19" ht="18.75" x14ac:dyDescent="0.3">
      <c r="B53" s="32"/>
      <c r="C53" s="32"/>
      <c r="D53" s="56" t="s">
        <v>41</v>
      </c>
      <c r="E53" s="33"/>
      <c r="F53" s="32"/>
      <c r="G53" s="51"/>
      <c r="H53" s="57"/>
      <c r="I53" s="35"/>
      <c r="J53" s="35"/>
      <c r="K53" s="35"/>
      <c r="L53" s="35"/>
      <c r="M53" s="35"/>
      <c r="N53" s="58"/>
      <c r="O53" s="35"/>
      <c r="P53" s="35"/>
      <c r="Q53" s="35"/>
      <c r="R53" s="58"/>
      <c r="S53" s="35"/>
    </row>
    <row r="54" spans="2:19" ht="15.75" x14ac:dyDescent="0.25">
      <c r="B54" s="38">
        <v>1</v>
      </c>
      <c r="C54" s="38" t="s">
        <v>105</v>
      </c>
      <c r="D54" s="39" t="s">
        <v>106</v>
      </c>
      <c r="E54" s="40">
        <v>44377</v>
      </c>
      <c r="F54" s="41"/>
      <c r="G54" s="42">
        <v>10</v>
      </c>
      <c r="H54" s="43">
        <f>+F54/G54</f>
        <v>0</v>
      </c>
      <c r="I54" s="41"/>
      <c r="J54" s="41"/>
      <c r="K54" s="41"/>
      <c r="L54" s="41"/>
      <c r="M54" s="41"/>
      <c r="N54" s="43">
        <f>+M54-O54</f>
        <v>0</v>
      </c>
      <c r="O54" s="41"/>
      <c r="P54" s="44"/>
      <c r="Q54" s="44"/>
      <c r="R54" s="45">
        <f>SUM(P54:Q54)</f>
        <v>0</v>
      </c>
      <c r="S54" s="46"/>
    </row>
    <row r="55" spans="2:19" ht="15.75" x14ac:dyDescent="0.25">
      <c r="B55" s="38">
        <f>+B54+1</f>
        <v>2</v>
      </c>
      <c r="C55" s="38" t="s">
        <v>107</v>
      </c>
      <c r="D55" s="39" t="s">
        <v>108</v>
      </c>
      <c r="E55" s="40">
        <v>44377</v>
      </c>
      <c r="F55" s="41">
        <v>250</v>
      </c>
      <c r="G55" s="42">
        <v>10</v>
      </c>
      <c r="H55" s="43">
        <f>+F55/G55</f>
        <v>25</v>
      </c>
      <c r="I55" s="41">
        <v>-62.095159000000002</v>
      </c>
      <c r="J55" s="41">
        <v>239.15823800000001</v>
      </c>
      <c r="K55" s="41">
        <v>49.834268000000002</v>
      </c>
      <c r="L55" s="41">
        <v>18.326785999999998</v>
      </c>
      <c r="M55" s="41">
        <v>1.3377619999999999</v>
      </c>
      <c r="N55" s="43">
        <f>+M55-O55</f>
        <v>0.22741999999999996</v>
      </c>
      <c r="O55" s="41">
        <v>1.1103419999999999</v>
      </c>
      <c r="P55" s="44">
        <v>0</v>
      </c>
      <c r="Q55" s="44">
        <v>0</v>
      </c>
      <c r="R55" s="45">
        <f>SUM(P55:Q55)</f>
        <v>0</v>
      </c>
      <c r="S55" s="46">
        <v>1035</v>
      </c>
    </row>
    <row r="56" spans="2:19" ht="15.75" x14ac:dyDescent="0.25">
      <c r="B56" s="32"/>
      <c r="C56" s="32"/>
      <c r="D56" s="32"/>
      <c r="E56" s="33"/>
      <c r="F56" s="32"/>
      <c r="G56" s="51"/>
      <c r="H56" s="57"/>
      <c r="I56" s="35"/>
      <c r="J56" s="35"/>
      <c r="K56" s="35"/>
      <c r="L56" s="35"/>
      <c r="M56" s="35"/>
      <c r="N56" s="58"/>
      <c r="O56" s="35"/>
      <c r="P56" s="35"/>
      <c r="Q56" s="35"/>
      <c r="R56" s="58"/>
      <c r="S56" s="35"/>
    </row>
    <row r="57" spans="2:19" s="67" customFormat="1" ht="15.75" x14ac:dyDescent="0.25">
      <c r="B57" s="38">
        <f>COUNT(B24:B56)</f>
        <v>30</v>
      </c>
      <c r="C57" s="38"/>
      <c r="D57" s="60"/>
      <c r="E57" s="40"/>
      <c r="F57" s="60">
        <f>SUM(F24:F56)</f>
        <v>19133.586459999999</v>
      </c>
      <c r="G57" s="61"/>
      <c r="H57" s="62">
        <f t="shared" ref="H57:O57" si="6">SUM(H24:H56)</f>
        <v>2014.1586460000001</v>
      </c>
      <c r="I57" s="60">
        <f t="shared" si="6"/>
        <v>27062.145834999996</v>
      </c>
      <c r="J57" s="60">
        <f t="shared" si="6"/>
        <v>55680.406036000008</v>
      </c>
      <c r="K57" s="60">
        <f t="shared" si="6"/>
        <v>16782.634515000002</v>
      </c>
      <c r="L57" s="60">
        <f t="shared" si="6"/>
        <v>1937.7896730000002</v>
      </c>
      <c r="M57" s="60">
        <f t="shared" si="6"/>
        <v>1399.9857159999999</v>
      </c>
      <c r="N57" s="63">
        <f t="shared" si="6"/>
        <v>165.53990299999998</v>
      </c>
      <c r="O57" s="60">
        <f t="shared" si="6"/>
        <v>1234.4458129999996</v>
      </c>
      <c r="P57" s="64"/>
      <c r="Q57" s="64"/>
      <c r="R57" s="65"/>
      <c r="S57" s="66">
        <f>SUM(S24:S56)</f>
        <v>79544</v>
      </c>
    </row>
    <row r="58" spans="2:19" ht="15.75" x14ac:dyDescent="0.25">
      <c r="B58" s="32"/>
      <c r="C58" s="32"/>
      <c r="D58" s="32"/>
      <c r="E58" s="33"/>
      <c r="F58" s="32"/>
      <c r="G58" s="51"/>
      <c r="H58" s="57"/>
      <c r="I58" s="35"/>
      <c r="J58" s="35"/>
      <c r="K58" s="35"/>
      <c r="L58" s="35"/>
      <c r="M58" s="35"/>
      <c r="N58" s="58"/>
      <c r="O58" s="35"/>
      <c r="P58" s="35"/>
      <c r="Q58" s="35"/>
      <c r="R58" s="58"/>
      <c r="S58" s="35"/>
    </row>
    <row r="59" spans="2:19" ht="15.75" x14ac:dyDescent="0.25">
      <c r="B59" s="32"/>
      <c r="C59" s="32"/>
      <c r="D59" s="32"/>
      <c r="E59" s="33"/>
      <c r="F59" s="32"/>
      <c r="G59" s="51"/>
      <c r="H59" s="57"/>
      <c r="I59" s="35"/>
      <c r="J59" s="35"/>
      <c r="K59" s="35"/>
      <c r="L59" s="35"/>
      <c r="M59" s="35"/>
      <c r="N59" s="58"/>
      <c r="O59" s="35"/>
      <c r="P59" s="35"/>
      <c r="Q59" s="35"/>
      <c r="R59" s="58"/>
      <c r="S59" s="35"/>
    </row>
    <row r="60" spans="2:19" ht="18.75" x14ac:dyDescent="0.3">
      <c r="B60" s="32"/>
      <c r="C60" s="37">
        <v>3</v>
      </c>
      <c r="D60" s="37" t="s">
        <v>109</v>
      </c>
      <c r="E60" s="33"/>
      <c r="F60" s="32"/>
      <c r="G60" s="51"/>
      <c r="H60" s="57"/>
      <c r="I60" s="35"/>
      <c r="J60" s="35"/>
      <c r="K60" s="35"/>
      <c r="L60" s="35"/>
      <c r="M60" s="35"/>
      <c r="N60" s="58"/>
      <c r="O60" s="35"/>
      <c r="P60" s="35"/>
      <c r="Q60" s="35"/>
      <c r="R60" s="58"/>
      <c r="S60" s="35"/>
    </row>
    <row r="61" spans="2:19" ht="15.75" x14ac:dyDescent="0.25">
      <c r="B61" s="32"/>
      <c r="C61" s="32"/>
      <c r="D61" s="32"/>
      <c r="E61" s="33"/>
      <c r="F61" s="32"/>
      <c r="G61" s="51"/>
      <c r="H61" s="57"/>
      <c r="I61" s="35"/>
      <c r="J61" s="35"/>
      <c r="K61" s="35"/>
      <c r="L61" s="35"/>
      <c r="M61" s="35"/>
      <c r="N61" s="58"/>
      <c r="O61" s="35"/>
      <c r="P61" s="35"/>
      <c r="Q61" s="35"/>
      <c r="R61" s="58"/>
      <c r="S61" s="35"/>
    </row>
    <row r="62" spans="2:19" ht="15.75" x14ac:dyDescent="0.25">
      <c r="B62" s="38">
        <v>1</v>
      </c>
      <c r="C62" s="38" t="s">
        <v>110</v>
      </c>
      <c r="D62" s="39" t="s">
        <v>111</v>
      </c>
      <c r="E62" s="40">
        <v>44377</v>
      </c>
      <c r="F62" s="41">
        <v>215</v>
      </c>
      <c r="G62" s="42">
        <v>10</v>
      </c>
      <c r="H62" s="43">
        <f t="shared" ref="H62:H65" si="7">+F62/G62</f>
        <v>21.5</v>
      </c>
      <c r="I62" s="41">
        <v>62.098571999999997</v>
      </c>
      <c r="J62" s="41">
        <v>323.49126899999999</v>
      </c>
      <c r="K62" s="41">
        <v>18.696629999999999</v>
      </c>
      <c r="L62" s="41">
        <v>1.4477359999999999</v>
      </c>
      <c r="M62" s="41">
        <v>4.47715</v>
      </c>
      <c r="N62" s="43">
        <f t="shared" ref="N62:N65" si="8">+M62-O62</f>
        <v>6.1234260000000003</v>
      </c>
      <c r="O62" s="41">
        <v>-1.6462760000000001</v>
      </c>
      <c r="P62" s="44">
        <v>0</v>
      </c>
      <c r="Q62" s="44">
        <v>0</v>
      </c>
      <c r="R62" s="45">
        <f t="shared" ref="R62" si="9">SUM(P62:Q62)</f>
        <v>0</v>
      </c>
      <c r="S62" s="46">
        <v>444</v>
      </c>
    </row>
    <row r="63" spans="2:19" ht="15.75" x14ac:dyDescent="0.25">
      <c r="B63" s="38">
        <f>+B62+1</f>
        <v>2</v>
      </c>
      <c r="C63" s="38" t="s">
        <v>112</v>
      </c>
      <c r="D63" s="39" t="s">
        <v>113</v>
      </c>
      <c r="E63" s="40">
        <v>44377</v>
      </c>
      <c r="F63" s="41">
        <v>1754.07647</v>
      </c>
      <c r="G63" s="42">
        <v>10</v>
      </c>
      <c r="H63" s="43">
        <f t="shared" si="7"/>
        <v>175.407647</v>
      </c>
      <c r="I63" s="41">
        <v>8525.5037609999999</v>
      </c>
      <c r="J63" s="41">
        <v>24786.307719</v>
      </c>
      <c r="K63" s="41">
        <v>3681.1164170000002</v>
      </c>
      <c r="L63" s="41">
        <v>1193.51864</v>
      </c>
      <c r="M63" s="41">
        <v>1283.979509</v>
      </c>
      <c r="N63" s="43">
        <f t="shared" si="8"/>
        <v>369.16867500000001</v>
      </c>
      <c r="O63" s="41">
        <v>914.810834</v>
      </c>
      <c r="P63" s="44">
        <f>20+20</f>
        <v>40</v>
      </c>
      <c r="Q63" s="44">
        <v>0</v>
      </c>
      <c r="R63" s="45">
        <f t="shared" ref="R63:R65" si="10">SUM(P63:Q63)</f>
        <v>40</v>
      </c>
      <c r="S63" s="46">
        <v>3626</v>
      </c>
    </row>
    <row r="64" spans="2:19" ht="15.75" x14ac:dyDescent="0.25">
      <c r="B64" s="38">
        <f t="shared" ref="B64:B65" si="11">+B63+1</f>
        <v>3</v>
      </c>
      <c r="C64" s="38" t="s">
        <v>114</v>
      </c>
      <c r="D64" s="39" t="s">
        <v>115</v>
      </c>
      <c r="E64" s="40">
        <v>44377</v>
      </c>
      <c r="F64" s="41">
        <v>253.69800000000001</v>
      </c>
      <c r="G64" s="42">
        <v>10</v>
      </c>
      <c r="H64" s="43">
        <f t="shared" si="7"/>
        <v>25.369800000000001</v>
      </c>
      <c r="I64" s="41">
        <v>768.87602200000003</v>
      </c>
      <c r="J64" s="41">
        <v>2420.7384050000001</v>
      </c>
      <c r="K64" s="41">
        <v>206.094628</v>
      </c>
      <c r="L64" s="41">
        <v>42.062089</v>
      </c>
      <c r="M64" s="41">
        <v>28.015219999999999</v>
      </c>
      <c r="N64" s="43">
        <f t="shared" si="8"/>
        <v>3.4488829999999986</v>
      </c>
      <c r="O64" s="41">
        <v>24.566337000000001</v>
      </c>
      <c r="P64" s="44">
        <v>0</v>
      </c>
      <c r="Q64" s="44">
        <v>0</v>
      </c>
      <c r="R64" s="45">
        <f t="shared" si="10"/>
        <v>0</v>
      </c>
      <c r="S64" s="46">
        <v>190</v>
      </c>
    </row>
    <row r="65" spans="2:19" ht="15.75" x14ac:dyDescent="0.25">
      <c r="B65" s="38">
        <f t="shared" si="11"/>
        <v>4</v>
      </c>
      <c r="C65" s="38" t="s">
        <v>116</v>
      </c>
      <c r="D65" s="39" t="s">
        <v>117</v>
      </c>
      <c r="E65" s="40">
        <v>44561</v>
      </c>
      <c r="F65" s="41">
        <v>320</v>
      </c>
      <c r="G65" s="42">
        <v>10</v>
      </c>
      <c r="H65" s="43">
        <f t="shared" si="7"/>
        <v>32</v>
      </c>
      <c r="I65" s="41"/>
      <c r="J65" s="41"/>
      <c r="K65" s="41"/>
      <c r="L65" s="41"/>
      <c r="M65" s="41">
        <v>-13.131</v>
      </c>
      <c r="N65" s="43">
        <f t="shared" si="8"/>
        <v>0.26799999999999891</v>
      </c>
      <c r="O65" s="41">
        <v>-13.398999999999999</v>
      </c>
      <c r="P65" s="44">
        <v>0</v>
      </c>
      <c r="Q65" s="44">
        <v>0</v>
      </c>
      <c r="R65" s="45">
        <f t="shared" si="10"/>
        <v>0</v>
      </c>
      <c r="S65" s="46"/>
    </row>
    <row r="66" spans="2:19" ht="15.75" x14ac:dyDescent="0.25">
      <c r="B66" s="32"/>
      <c r="C66" s="32"/>
      <c r="D66" s="32"/>
      <c r="E66" s="33"/>
      <c r="F66" s="32"/>
      <c r="G66" s="51"/>
      <c r="H66" s="57"/>
      <c r="I66" s="35"/>
      <c r="J66" s="35"/>
      <c r="K66" s="35"/>
      <c r="L66" s="35"/>
      <c r="M66" s="35"/>
      <c r="N66" s="58"/>
      <c r="O66" s="35"/>
      <c r="P66" s="35"/>
      <c r="Q66" s="35"/>
      <c r="R66" s="58"/>
      <c r="S66" s="35"/>
    </row>
    <row r="67" spans="2:19" ht="18.75" x14ac:dyDescent="0.3">
      <c r="B67" s="32"/>
      <c r="C67" s="32"/>
      <c r="D67" s="68" t="s">
        <v>41</v>
      </c>
      <c r="E67" s="33"/>
      <c r="F67" s="32"/>
      <c r="G67" s="51"/>
      <c r="H67" s="57"/>
      <c r="I67" s="35"/>
      <c r="J67" s="35"/>
      <c r="K67" s="35"/>
      <c r="L67" s="35"/>
      <c r="M67" s="35"/>
      <c r="N67" s="58"/>
      <c r="O67" s="35"/>
      <c r="P67" s="35"/>
      <c r="Q67" s="35"/>
      <c r="R67" s="58"/>
      <c r="S67" s="35"/>
    </row>
    <row r="68" spans="2:19" ht="15.75" x14ac:dyDescent="0.25">
      <c r="B68" s="38">
        <v>1</v>
      </c>
      <c r="C68" s="38" t="s">
        <v>118</v>
      </c>
      <c r="D68" s="39" t="s">
        <v>119</v>
      </c>
      <c r="E68" s="40">
        <v>44377</v>
      </c>
      <c r="F68" s="41"/>
      <c r="G68" s="42">
        <v>10</v>
      </c>
      <c r="H68" s="43">
        <f>+F68/G68</f>
        <v>0</v>
      </c>
      <c r="I68" s="41"/>
      <c r="J68" s="41"/>
      <c r="K68" s="41"/>
      <c r="L68" s="41"/>
      <c r="M68" s="41"/>
      <c r="N68" s="43">
        <f>+M68-O68</f>
        <v>0</v>
      </c>
      <c r="O68" s="41"/>
      <c r="P68" s="44"/>
      <c r="Q68" s="44"/>
      <c r="R68" s="45">
        <f>SUM(P68:Q68)</f>
        <v>0</v>
      </c>
      <c r="S68" s="46"/>
    </row>
    <row r="69" spans="2:19" ht="15.75" x14ac:dyDescent="0.25">
      <c r="B69" s="38">
        <f>+B68+1</f>
        <v>2</v>
      </c>
      <c r="C69" s="38" t="s">
        <v>120</v>
      </c>
      <c r="D69" s="39" t="s">
        <v>121</v>
      </c>
      <c r="E69" s="40">
        <v>44377</v>
      </c>
      <c r="F69" s="41"/>
      <c r="G69" s="42">
        <v>10</v>
      </c>
      <c r="H69" s="43">
        <f>+F69/G69</f>
        <v>0</v>
      </c>
      <c r="I69" s="41"/>
      <c r="J69" s="41"/>
      <c r="K69" s="41"/>
      <c r="L69" s="41"/>
      <c r="M69" s="41"/>
      <c r="N69" s="43">
        <f>+M69-O69</f>
        <v>0</v>
      </c>
      <c r="O69" s="41"/>
      <c r="P69" s="44"/>
      <c r="Q69" s="44"/>
      <c r="R69" s="45">
        <f>SUM(P69:Q69)</f>
        <v>0</v>
      </c>
      <c r="S69" s="46"/>
    </row>
    <row r="70" spans="2:19" ht="15.75" x14ac:dyDescent="0.25">
      <c r="B70" s="38">
        <f t="shared" ref="B70:B71" si="12">+B69+1</f>
        <v>3</v>
      </c>
      <c r="C70" s="38" t="s">
        <v>122</v>
      </c>
      <c r="D70" s="39" t="s">
        <v>123</v>
      </c>
      <c r="E70" s="40">
        <v>44377</v>
      </c>
      <c r="F70" s="41">
        <v>363</v>
      </c>
      <c r="G70" s="42">
        <v>10</v>
      </c>
      <c r="H70" s="43">
        <f>+F70/G70</f>
        <v>36.299999999999997</v>
      </c>
      <c r="I70" s="41">
        <v>59.709392000000001</v>
      </c>
      <c r="J70" s="41">
        <v>626.89558499999998</v>
      </c>
      <c r="K70" s="41">
        <v>7.8489550000000001</v>
      </c>
      <c r="L70" s="41">
        <v>1.119855</v>
      </c>
      <c r="M70" s="41">
        <v>-12.476583</v>
      </c>
      <c r="N70" s="43">
        <f>+M70-O70</f>
        <v>0.90675799999999995</v>
      </c>
      <c r="O70" s="41">
        <v>-13.383341</v>
      </c>
      <c r="P70" s="44">
        <v>0</v>
      </c>
      <c r="Q70" s="44">
        <v>0</v>
      </c>
      <c r="R70" s="45">
        <f>SUM(P70:Q70)</f>
        <v>0</v>
      </c>
      <c r="S70" s="46">
        <v>403</v>
      </c>
    </row>
    <row r="71" spans="2:19" ht="15.75" x14ac:dyDescent="0.25">
      <c r="B71" s="38">
        <f t="shared" si="12"/>
        <v>4</v>
      </c>
      <c r="C71" s="38" t="s">
        <v>124</v>
      </c>
      <c r="D71" s="39" t="s">
        <v>125</v>
      </c>
      <c r="E71" s="40">
        <v>44377</v>
      </c>
      <c r="F71" s="41">
        <v>451.60500000000002</v>
      </c>
      <c r="G71" s="42">
        <v>10</v>
      </c>
      <c r="H71" s="43">
        <f>+F71/G71</f>
        <v>45.160499999999999</v>
      </c>
      <c r="I71" s="41">
        <v>-546.39020800000003</v>
      </c>
      <c r="J71" s="41">
        <v>832.85911999999996</v>
      </c>
      <c r="K71" s="41">
        <f>3.817227+29.276106+38.98149</f>
        <v>72.074823000000009</v>
      </c>
      <c r="L71" s="41">
        <v>38.532820000000001</v>
      </c>
      <c r="M71" s="41">
        <v>-4.1845829999999999</v>
      </c>
      <c r="N71" s="43">
        <f>+M71-O71</f>
        <v>-5.531701</v>
      </c>
      <c r="O71" s="41">
        <v>1.347118</v>
      </c>
      <c r="P71" s="44">
        <v>0</v>
      </c>
      <c r="Q71" s="44">
        <v>0</v>
      </c>
      <c r="R71" s="45">
        <f>SUM(P71:Q71)</f>
        <v>0</v>
      </c>
      <c r="S71" s="46">
        <v>1804</v>
      </c>
    </row>
    <row r="72" spans="2:19" ht="15.75" x14ac:dyDescent="0.25">
      <c r="B72" s="32"/>
      <c r="C72" s="32"/>
      <c r="D72" s="32"/>
      <c r="E72" s="33"/>
      <c r="F72" s="32"/>
      <c r="G72" s="51"/>
      <c r="H72" s="57"/>
      <c r="I72" s="35"/>
      <c r="J72" s="35"/>
      <c r="K72" s="35"/>
      <c r="L72" s="35"/>
      <c r="M72" s="35"/>
      <c r="N72" s="58"/>
      <c r="O72" s="35"/>
      <c r="P72" s="35"/>
      <c r="Q72" s="35"/>
      <c r="R72" s="58"/>
      <c r="S72" s="35"/>
    </row>
    <row r="73" spans="2:19" ht="15.75" x14ac:dyDescent="0.25">
      <c r="B73" s="38">
        <f>COUNT(B62:B72)</f>
        <v>8</v>
      </c>
      <c r="C73" s="38"/>
      <c r="D73" s="60"/>
      <c r="E73" s="40"/>
      <c r="F73" s="60">
        <f>SUM(F62:F72)</f>
        <v>3357.3794699999999</v>
      </c>
      <c r="G73" s="61"/>
      <c r="H73" s="62">
        <f t="shared" ref="H73:O73" si="13">SUM(H62:H72)</f>
        <v>335.73794700000002</v>
      </c>
      <c r="I73" s="60">
        <f t="shared" si="13"/>
        <v>8869.7975390000011</v>
      </c>
      <c r="J73" s="60">
        <f t="shared" si="13"/>
        <v>28990.292097999998</v>
      </c>
      <c r="K73" s="60">
        <f t="shared" si="13"/>
        <v>3985.8314529999998</v>
      </c>
      <c r="L73" s="60">
        <f t="shared" si="13"/>
        <v>1276.6811399999999</v>
      </c>
      <c r="M73" s="60">
        <f t="shared" si="13"/>
        <v>1286.679713</v>
      </c>
      <c r="N73" s="63">
        <f t="shared" si="13"/>
        <v>374.38404100000002</v>
      </c>
      <c r="O73" s="60">
        <f t="shared" si="13"/>
        <v>912.29567200000008</v>
      </c>
      <c r="P73" s="64"/>
      <c r="Q73" s="64"/>
      <c r="R73" s="65"/>
      <c r="S73" s="66">
        <f>SUM(S62:S72)</f>
        <v>6467</v>
      </c>
    </row>
    <row r="74" spans="2:19" ht="15.75" x14ac:dyDescent="0.25">
      <c r="B74" s="32"/>
      <c r="C74" s="32"/>
      <c r="D74" s="32"/>
      <c r="E74" s="33"/>
      <c r="F74" s="32"/>
      <c r="G74" s="51"/>
      <c r="H74" s="57"/>
      <c r="I74" s="35"/>
      <c r="J74" s="35"/>
      <c r="K74" s="35"/>
      <c r="L74" s="35"/>
      <c r="M74" s="35"/>
      <c r="N74" s="58"/>
      <c r="O74" s="35"/>
      <c r="P74" s="35"/>
      <c r="Q74" s="35"/>
      <c r="R74" s="58"/>
      <c r="S74" s="35"/>
    </row>
    <row r="75" spans="2:19" ht="15.75" x14ac:dyDescent="0.25">
      <c r="B75" s="32"/>
      <c r="C75" s="32"/>
      <c r="D75" s="32"/>
      <c r="E75" s="33"/>
      <c r="F75" s="32"/>
      <c r="G75" s="51"/>
      <c r="H75" s="57"/>
      <c r="I75" s="35"/>
      <c r="J75" s="35"/>
      <c r="K75" s="35"/>
      <c r="L75" s="35"/>
      <c r="M75" s="35"/>
      <c r="N75" s="58"/>
      <c r="O75" s="35"/>
      <c r="P75" s="35"/>
      <c r="Q75" s="35"/>
      <c r="R75" s="58"/>
      <c r="S75" s="35"/>
    </row>
    <row r="76" spans="2:19" ht="18.75" x14ac:dyDescent="0.3">
      <c r="B76" s="32"/>
      <c r="C76" s="37">
        <v>4</v>
      </c>
      <c r="D76" s="69" t="s">
        <v>126</v>
      </c>
      <c r="E76" s="70"/>
      <c r="F76" s="71"/>
      <c r="G76" s="51"/>
      <c r="H76" s="57"/>
      <c r="I76" s="35"/>
      <c r="J76" s="35"/>
      <c r="K76" s="35"/>
      <c r="L76" s="35"/>
      <c r="M76" s="35"/>
      <c r="N76" s="58"/>
      <c r="O76" s="35"/>
      <c r="P76" s="35"/>
      <c r="Q76" s="35"/>
      <c r="R76" s="58"/>
      <c r="S76" s="35"/>
    </row>
    <row r="77" spans="2:19" ht="15.75" x14ac:dyDescent="0.25">
      <c r="B77" s="32"/>
      <c r="C77" s="32"/>
      <c r="D77" s="32"/>
      <c r="E77" s="33"/>
      <c r="F77" s="32"/>
      <c r="G77" s="51"/>
      <c r="H77" s="57"/>
      <c r="I77" s="35"/>
      <c r="J77" s="35"/>
      <c r="K77" s="35"/>
      <c r="L77" s="35"/>
      <c r="M77" s="35"/>
      <c r="N77" s="58"/>
      <c r="O77" s="35"/>
      <c r="P77" s="35"/>
      <c r="Q77" s="35"/>
      <c r="R77" s="58"/>
      <c r="S77" s="35"/>
    </row>
    <row r="78" spans="2:19" ht="15.75" x14ac:dyDescent="0.25">
      <c r="B78" s="38">
        <v>1</v>
      </c>
      <c r="C78" s="38">
        <v>786</v>
      </c>
      <c r="D78" s="39" t="s">
        <v>127</v>
      </c>
      <c r="E78" s="40">
        <v>44377</v>
      </c>
      <c r="F78" s="41">
        <v>149.73750000000001</v>
      </c>
      <c r="G78" s="42">
        <v>10</v>
      </c>
      <c r="H78" s="43">
        <f t="shared" ref="H78:H102" si="14">+F78/G78</f>
        <v>14.973750000000001</v>
      </c>
      <c r="I78" s="41">
        <v>230.13008400000001</v>
      </c>
      <c r="J78" s="41">
        <v>248.876361</v>
      </c>
      <c r="K78" s="41">
        <v>14.566402</v>
      </c>
      <c r="L78" s="41">
        <v>1.6500440000000001</v>
      </c>
      <c r="M78" s="41">
        <v>5.1396490000000004</v>
      </c>
      <c r="N78" s="43">
        <f t="shared" ref="N78:N102" si="15">+M78-O78</f>
        <v>1.8708190000000005</v>
      </c>
      <c r="O78" s="41">
        <v>3.2688299999999999</v>
      </c>
      <c r="P78" s="44">
        <v>0</v>
      </c>
      <c r="Q78" s="44">
        <v>0</v>
      </c>
      <c r="R78" s="45">
        <f t="shared" ref="R78:R102" si="16">SUM(P78:Q78)</f>
        <v>0</v>
      </c>
      <c r="S78" s="46">
        <v>950</v>
      </c>
    </row>
    <row r="79" spans="2:19" ht="15.75" x14ac:dyDescent="0.25">
      <c r="B79" s="38">
        <f>+B78+1</f>
        <v>2</v>
      </c>
      <c r="C79" s="38" t="s">
        <v>128</v>
      </c>
      <c r="D79" s="39" t="s">
        <v>129</v>
      </c>
      <c r="E79" s="40">
        <v>44377</v>
      </c>
      <c r="F79" s="41">
        <v>594</v>
      </c>
      <c r="G79" s="42">
        <v>10</v>
      </c>
      <c r="H79" s="43">
        <f t="shared" si="14"/>
        <v>59.4</v>
      </c>
      <c r="I79" s="41">
        <v>4995.3833699999996</v>
      </c>
      <c r="J79" s="41">
        <v>8471.5021589999997</v>
      </c>
      <c r="K79" s="41">
        <f>3077.879463+103.229911</f>
        <v>3181.1093740000001</v>
      </c>
      <c r="L79" s="41">
        <v>131.705297</v>
      </c>
      <c r="M79" s="41">
        <v>2393.1023740000001</v>
      </c>
      <c r="N79" s="43">
        <f t="shared" si="15"/>
        <v>309.09718100000009</v>
      </c>
      <c r="O79" s="41">
        <v>2084.005193</v>
      </c>
      <c r="P79" s="44">
        <v>100</v>
      </c>
      <c r="Q79" s="44">
        <v>10</v>
      </c>
      <c r="R79" s="45">
        <f t="shared" si="16"/>
        <v>110</v>
      </c>
      <c r="S79" s="46">
        <v>2920</v>
      </c>
    </row>
    <row r="80" spans="2:19" ht="15.75" x14ac:dyDescent="0.25">
      <c r="B80" s="38">
        <f t="shared" ref="B80:B102" si="17">+B79+1</f>
        <v>3</v>
      </c>
      <c r="C80" s="38" t="s">
        <v>130</v>
      </c>
      <c r="D80" s="39" t="s">
        <v>131</v>
      </c>
      <c r="E80" s="40">
        <v>44561</v>
      </c>
      <c r="F80" s="41"/>
      <c r="G80" s="42">
        <v>10</v>
      </c>
      <c r="H80" s="43">
        <f t="shared" si="14"/>
        <v>0</v>
      </c>
      <c r="I80" s="41"/>
      <c r="J80" s="41"/>
      <c r="K80" s="41"/>
      <c r="L80" s="41"/>
      <c r="M80" s="41"/>
      <c r="N80" s="43">
        <f t="shared" si="15"/>
        <v>0</v>
      </c>
      <c r="O80" s="41"/>
      <c r="P80" s="44"/>
      <c r="Q80" s="44"/>
      <c r="R80" s="45">
        <f t="shared" si="16"/>
        <v>0</v>
      </c>
      <c r="S80" s="46"/>
    </row>
    <row r="81" spans="2:19" ht="15.75" x14ac:dyDescent="0.25">
      <c r="B81" s="38">
        <f t="shared" si="17"/>
        <v>4</v>
      </c>
      <c r="C81" s="38" t="s">
        <v>132</v>
      </c>
      <c r="D81" s="39" t="s">
        <v>133</v>
      </c>
      <c r="E81" s="40">
        <v>44561</v>
      </c>
      <c r="F81" s="41">
        <v>1000</v>
      </c>
      <c r="G81" s="42">
        <v>10</v>
      </c>
      <c r="H81" s="43">
        <f t="shared" si="14"/>
        <v>100</v>
      </c>
      <c r="I81" s="41"/>
      <c r="J81" s="41"/>
      <c r="K81" s="41"/>
      <c r="L81" s="41"/>
      <c r="M81" s="41">
        <v>251.13900000000001</v>
      </c>
      <c r="N81" s="43">
        <f t="shared" si="15"/>
        <v>71.40900000000002</v>
      </c>
      <c r="O81" s="41">
        <v>179.73</v>
      </c>
      <c r="P81" s="44">
        <v>5</v>
      </c>
      <c r="Q81" s="44">
        <v>0</v>
      </c>
      <c r="R81" s="45">
        <f t="shared" si="16"/>
        <v>5</v>
      </c>
      <c r="S81" s="46"/>
    </row>
    <row r="82" spans="2:19" ht="15.75" x14ac:dyDescent="0.25">
      <c r="B82" s="38">
        <f t="shared" si="17"/>
        <v>5</v>
      </c>
      <c r="C82" s="38" t="s">
        <v>134</v>
      </c>
      <c r="D82" s="39" t="s">
        <v>135</v>
      </c>
      <c r="E82" s="40">
        <v>44561</v>
      </c>
      <c r="F82" s="41">
        <v>615.59100000000001</v>
      </c>
      <c r="G82" s="42">
        <v>10</v>
      </c>
      <c r="H82" s="43">
        <f t="shared" si="14"/>
        <v>61.559100000000001</v>
      </c>
      <c r="I82" s="41">
        <v>1883.2380000000001</v>
      </c>
      <c r="J82" s="41">
        <v>2730.3020000000001</v>
      </c>
      <c r="K82" s="41">
        <v>435.17</v>
      </c>
      <c r="L82" s="41">
        <v>32.462000000000003</v>
      </c>
      <c r="M82" s="41">
        <v>216.80099999999999</v>
      </c>
      <c r="N82" s="43">
        <f t="shared" si="15"/>
        <v>13.407999999999987</v>
      </c>
      <c r="O82" s="41">
        <v>203.393</v>
      </c>
      <c r="P82" s="44">
        <f>60+40</f>
        <v>100</v>
      </c>
      <c r="Q82" s="44">
        <v>0</v>
      </c>
      <c r="R82" s="45">
        <f t="shared" si="16"/>
        <v>100</v>
      </c>
      <c r="S82" s="46">
        <v>1718</v>
      </c>
    </row>
    <row r="83" spans="2:19" ht="16.5" customHeight="1" x14ac:dyDescent="0.25">
      <c r="B83" s="38">
        <f t="shared" si="17"/>
        <v>6</v>
      </c>
      <c r="C83" s="38" t="s">
        <v>18</v>
      </c>
      <c r="D83" s="39" t="s">
        <v>136</v>
      </c>
      <c r="E83" s="40">
        <v>44377</v>
      </c>
      <c r="F83" s="41">
        <v>107.44413</v>
      </c>
      <c r="G83" s="42">
        <v>10</v>
      </c>
      <c r="H83" s="43">
        <f>+F83/G83</f>
        <v>10.744413</v>
      </c>
      <c r="I83" s="41">
        <v>263.354399</v>
      </c>
      <c r="J83" s="41">
        <v>351.37678699999998</v>
      </c>
      <c r="K83" s="41">
        <v>39.629804</v>
      </c>
      <c r="L83" s="41">
        <v>6.2913360000000003</v>
      </c>
      <c r="M83" s="41">
        <v>13.776638</v>
      </c>
      <c r="N83" s="43">
        <f>+M83-O83</f>
        <v>2.1001729999999998</v>
      </c>
      <c r="O83" s="41">
        <v>11.676465</v>
      </c>
      <c r="P83" s="44">
        <v>0</v>
      </c>
      <c r="Q83" s="44">
        <v>0</v>
      </c>
      <c r="R83" s="45">
        <f>SUM(P83:Q83)</f>
        <v>0</v>
      </c>
      <c r="S83" s="46">
        <v>746</v>
      </c>
    </row>
    <row r="84" spans="2:19" ht="15.75" x14ac:dyDescent="0.25">
      <c r="B84" s="38">
        <f t="shared" si="17"/>
        <v>7</v>
      </c>
      <c r="C84" s="38" t="s">
        <v>137</v>
      </c>
      <c r="D84" s="39" t="s">
        <v>138</v>
      </c>
      <c r="E84" s="40">
        <v>44377</v>
      </c>
      <c r="F84" s="41">
        <v>249.965</v>
      </c>
      <c r="G84" s="42">
        <v>10</v>
      </c>
      <c r="H84" s="43">
        <f t="shared" si="14"/>
        <v>24.996500000000001</v>
      </c>
      <c r="I84" s="41">
        <v>29.064526000000001</v>
      </c>
      <c r="J84" s="41">
        <v>349.87676499999998</v>
      </c>
      <c r="K84" s="41">
        <f>139.331028+11.885816+2.215681+3.205235</f>
        <v>156.63775999999999</v>
      </c>
      <c r="L84" s="41">
        <v>7.7951000000000006E-2</v>
      </c>
      <c r="M84" s="41">
        <v>59.328662000000001</v>
      </c>
      <c r="N84" s="43">
        <f t="shared" si="15"/>
        <v>17.794695000000004</v>
      </c>
      <c r="O84" s="41">
        <v>41.533966999999997</v>
      </c>
      <c r="P84" s="44">
        <v>0</v>
      </c>
      <c r="Q84" s="44">
        <v>10</v>
      </c>
      <c r="R84" s="45">
        <f t="shared" si="16"/>
        <v>10</v>
      </c>
      <c r="S84" s="46">
        <v>2786</v>
      </c>
    </row>
    <row r="85" spans="2:19" ht="15.75" x14ac:dyDescent="0.25">
      <c r="B85" s="38">
        <f t="shared" si="17"/>
        <v>8</v>
      </c>
      <c r="C85" s="72" t="s">
        <v>139</v>
      </c>
      <c r="D85" s="39" t="s">
        <v>140</v>
      </c>
      <c r="E85" s="40">
        <v>44561</v>
      </c>
      <c r="F85" s="41">
        <v>4812.8710000000001</v>
      </c>
      <c r="G85" s="42">
        <v>10</v>
      </c>
      <c r="H85" s="43">
        <f>+F85/G85</f>
        <v>481.28710000000001</v>
      </c>
      <c r="I85" s="41"/>
      <c r="J85" s="41"/>
      <c r="K85" s="41"/>
      <c r="L85" s="41"/>
      <c r="M85" s="41">
        <v>4880.049</v>
      </c>
      <c r="N85" s="43">
        <f>+M85-O85</f>
        <v>899.20100000000002</v>
      </c>
      <c r="O85" s="41">
        <v>3980.848</v>
      </c>
      <c r="P85" s="44">
        <f>45+30+20</f>
        <v>95</v>
      </c>
      <c r="Q85" s="44">
        <v>0</v>
      </c>
      <c r="R85" s="45">
        <f>SUM(P85:Q85)</f>
        <v>95</v>
      </c>
      <c r="S85" s="46"/>
    </row>
    <row r="86" spans="2:19" ht="15.75" x14ac:dyDescent="0.25">
      <c r="B86" s="38">
        <f t="shared" si="17"/>
        <v>9</v>
      </c>
      <c r="C86" s="72" t="s">
        <v>141</v>
      </c>
      <c r="D86" s="39" t="s">
        <v>142</v>
      </c>
      <c r="E86" s="40">
        <v>44561</v>
      </c>
      <c r="F86" s="41">
        <v>592.99800000000005</v>
      </c>
      <c r="G86" s="42">
        <v>10</v>
      </c>
      <c r="H86" s="43">
        <f>+F86/G86</f>
        <v>59.299800000000005</v>
      </c>
      <c r="I86" s="41"/>
      <c r="J86" s="41"/>
      <c r="K86" s="41"/>
      <c r="L86" s="41"/>
      <c r="M86" s="41">
        <v>675.53599999999994</v>
      </c>
      <c r="N86" s="43">
        <f>+M86-O86</f>
        <v>115.96699999999998</v>
      </c>
      <c r="O86" s="41">
        <v>559.56899999999996</v>
      </c>
      <c r="P86" s="44">
        <f>35+27.5</f>
        <v>62.5</v>
      </c>
      <c r="Q86" s="44">
        <v>0</v>
      </c>
      <c r="R86" s="45">
        <f>SUM(P86:Q86)</f>
        <v>62.5</v>
      </c>
      <c r="S86" s="46"/>
    </row>
    <row r="87" spans="2:19" ht="15.75" x14ac:dyDescent="0.25">
      <c r="B87" s="38">
        <f t="shared" si="17"/>
        <v>10</v>
      </c>
      <c r="C87" s="38" t="s">
        <v>143</v>
      </c>
      <c r="D87" s="39" t="s">
        <v>144</v>
      </c>
      <c r="E87" s="40">
        <v>44561</v>
      </c>
      <c r="F87" s="41"/>
      <c r="G87" s="42">
        <v>10</v>
      </c>
      <c r="H87" s="43">
        <f t="shared" si="14"/>
        <v>0</v>
      </c>
      <c r="I87" s="41"/>
      <c r="J87" s="41"/>
      <c r="K87" s="41"/>
      <c r="L87" s="41"/>
      <c r="M87" s="41"/>
      <c r="N87" s="43">
        <f t="shared" si="15"/>
        <v>0</v>
      </c>
      <c r="O87" s="41"/>
      <c r="P87" s="44"/>
      <c r="Q87" s="44"/>
      <c r="R87" s="45">
        <f t="shared" si="16"/>
        <v>0</v>
      </c>
      <c r="S87" s="46"/>
    </row>
    <row r="88" spans="2:19" ht="15.75" x14ac:dyDescent="0.25">
      <c r="B88" s="38">
        <f t="shared" si="17"/>
        <v>11</v>
      </c>
      <c r="C88" s="38" t="s">
        <v>145</v>
      </c>
      <c r="D88" s="39" t="s">
        <v>146</v>
      </c>
      <c r="E88" s="40">
        <v>44377</v>
      </c>
      <c r="F88" s="41">
        <v>1356</v>
      </c>
      <c r="G88" s="42">
        <v>10</v>
      </c>
      <c r="H88" s="43">
        <f t="shared" si="14"/>
        <v>135.6</v>
      </c>
      <c r="I88" s="41">
        <v>839.49541299999999</v>
      </c>
      <c r="J88" s="41">
        <v>1056.581768</v>
      </c>
      <c r="K88" s="41">
        <v>112.32494199999999</v>
      </c>
      <c r="L88" s="41">
        <v>6.2653800000000004</v>
      </c>
      <c r="M88" s="41">
        <v>-77.430593999999999</v>
      </c>
      <c r="N88" s="43">
        <f t="shared" si="15"/>
        <v>4.0512619999999941</v>
      </c>
      <c r="O88" s="41">
        <v>-81.481855999999993</v>
      </c>
      <c r="P88" s="44">
        <v>0</v>
      </c>
      <c r="Q88" s="44">
        <v>0</v>
      </c>
      <c r="R88" s="45">
        <f t="shared" si="16"/>
        <v>0</v>
      </c>
      <c r="S88" s="46">
        <v>1053</v>
      </c>
    </row>
    <row r="89" spans="2:19" ht="15.75" x14ac:dyDescent="0.25">
      <c r="B89" s="38">
        <f t="shared" si="17"/>
        <v>12</v>
      </c>
      <c r="C89" s="38" t="s">
        <v>147</v>
      </c>
      <c r="D89" s="39" t="s">
        <v>148</v>
      </c>
      <c r="E89" s="40">
        <v>44377</v>
      </c>
      <c r="F89" s="41">
        <v>650</v>
      </c>
      <c r="G89" s="42">
        <v>10</v>
      </c>
      <c r="H89" s="43">
        <f t="shared" si="14"/>
        <v>65</v>
      </c>
      <c r="I89" s="41">
        <v>749.95089499999995</v>
      </c>
      <c r="J89" s="41">
        <v>2272.0383499999998</v>
      </c>
      <c r="K89" s="41">
        <v>145.03618399999999</v>
      </c>
      <c r="L89" s="41">
        <v>65.125082000000006</v>
      </c>
      <c r="M89" s="41">
        <v>28.845844</v>
      </c>
      <c r="N89" s="43">
        <f t="shared" si="15"/>
        <v>8.3108830000000005</v>
      </c>
      <c r="O89" s="41">
        <v>20.534960999999999</v>
      </c>
      <c r="P89" s="44">
        <v>0</v>
      </c>
      <c r="Q89" s="44">
        <v>0</v>
      </c>
      <c r="R89" s="45">
        <f t="shared" si="16"/>
        <v>0</v>
      </c>
      <c r="S89" s="46">
        <v>947</v>
      </c>
    </row>
    <row r="90" spans="2:19" ht="15.75" x14ac:dyDescent="0.25">
      <c r="B90" s="38">
        <f t="shared" si="17"/>
        <v>13</v>
      </c>
      <c r="C90" s="38" t="s">
        <v>149</v>
      </c>
      <c r="D90" s="39" t="s">
        <v>150</v>
      </c>
      <c r="E90" s="40">
        <v>44377</v>
      </c>
      <c r="F90" s="41">
        <v>3166.1011199999998</v>
      </c>
      <c r="G90" s="42">
        <v>10</v>
      </c>
      <c r="H90" s="43">
        <f t="shared" si="14"/>
        <v>316.61011199999996</v>
      </c>
      <c r="I90" s="41">
        <v>1920.488836</v>
      </c>
      <c r="J90" s="41">
        <f>4107.351296+116.897505</f>
        <v>4224.2488009999997</v>
      </c>
      <c r="K90" s="41">
        <f>364.608987+111.102532</f>
        <v>475.71151900000001</v>
      </c>
      <c r="L90" s="41">
        <v>263.739756</v>
      </c>
      <c r="M90" s="41">
        <v>202.641222</v>
      </c>
      <c r="N90" s="43">
        <f t="shared" si="15"/>
        <v>-4.788281000000012</v>
      </c>
      <c r="O90" s="41">
        <v>207.42950300000001</v>
      </c>
      <c r="P90" s="44">
        <v>0</v>
      </c>
      <c r="Q90" s="44">
        <v>0</v>
      </c>
      <c r="R90" s="45">
        <f t="shared" si="16"/>
        <v>0</v>
      </c>
      <c r="S90" s="46">
        <v>4713</v>
      </c>
    </row>
    <row r="91" spans="2:19" ht="15.75" x14ac:dyDescent="0.25">
      <c r="B91" s="38">
        <f t="shared" si="17"/>
        <v>14</v>
      </c>
      <c r="C91" s="38" t="s">
        <v>151</v>
      </c>
      <c r="D91" s="39" t="s">
        <v>152</v>
      </c>
      <c r="E91" s="40">
        <v>44377</v>
      </c>
      <c r="F91" s="41">
        <v>1483.90023</v>
      </c>
      <c r="G91" s="42">
        <v>10</v>
      </c>
      <c r="H91" s="43">
        <f t="shared" si="14"/>
        <v>148.39002299999999</v>
      </c>
      <c r="I91" s="41">
        <v>514.12517400000002</v>
      </c>
      <c r="J91" s="41">
        <v>907.33827199999996</v>
      </c>
      <c r="K91" s="41">
        <f>34.599572+30.18987</f>
        <v>64.789442000000008</v>
      </c>
      <c r="L91" s="41">
        <v>7.1863929999999998</v>
      </c>
      <c r="M91" s="41">
        <v>30.774771000000001</v>
      </c>
      <c r="N91" s="43">
        <f t="shared" si="15"/>
        <v>24.726496000000001</v>
      </c>
      <c r="O91" s="41">
        <v>6.0482750000000003</v>
      </c>
      <c r="P91" s="44">
        <v>0</v>
      </c>
      <c r="Q91" s="44">
        <v>0</v>
      </c>
      <c r="R91" s="45">
        <f t="shared" si="16"/>
        <v>0</v>
      </c>
      <c r="S91" s="46">
        <v>3885</v>
      </c>
    </row>
    <row r="92" spans="2:19" ht="15.75" x14ac:dyDescent="0.25">
      <c r="B92" s="38">
        <f t="shared" si="17"/>
        <v>15</v>
      </c>
      <c r="C92" s="38" t="s">
        <v>153</v>
      </c>
      <c r="D92" s="39" t="s">
        <v>154</v>
      </c>
      <c r="E92" s="40">
        <v>44377</v>
      </c>
      <c r="F92" s="41">
        <v>2672.8633100000002</v>
      </c>
      <c r="G92" s="42">
        <v>10</v>
      </c>
      <c r="H92" s="43">
        <f t="shared" si="14"/>
        <v>267.28633100000002</v>
      </c>
      <c r="I92" s="41">
        <v>1180.8400369999999</v>
      </c>
      <c r="J92" s="41">
        <v>1990.6562710000001</v>
      </c>
      <c r="K92" s="41">
        <v>182.002441</v>
      </c>
      <c r="L92" s="41">
        <v>26.616641999999999</v>
      </c>
      <c r="M92" s="41">
        <v>291.14364399999999</v>
      </c>
      <c r="N92" s="43">
        <f t="shared" si="15"/>
        <v>106.78723600000001</v>
      </c>
      <c r="O92" s="41">
        <v>184.35640799999999</v>
      </c>
      <c r="P92" s="44">
        <v>0</v>
      </c>
      <c r="Q92" s="44">
        <v>0</v>
      </c>
      <c r="R92" s="45">
        <f t="shared" si="16"/>
        <v>0</v>
      </c>
      <c r="S92" s="46">
        <v>5454</v>
      </c>
    </row>
    <row r="93" spans="2:19" ht="15.75" x14ac:dyDescent="0.25">
      <c r="B93" s="38">
        <f t="shared" si="17"/>
        <v>16</v>
      </c>
      <c r="C93" s="38" t="s">
        <v>155</v>
      </c>
      <c r="D93" s="39" t="s">
        <v>156</v>
      </c>
      <c r="E93" s="40">
        <v>44469</v>
      </c>
      <c r="F93" s="41">
        <v>990.2</v>
      </c>
      <c r="G93" s="42">
        <v>10</v>
      </c>
      <c r="H93" s="43">
        <f>+F93/G93</f>
        <v>99.02000000000001</v>
      </c>
      <c r="I93" s="41">
        <v>10069.733</v>
      </c>
      <c r="J93" s="41">
        <v>12463.254999999999</v>
      </c>
      <c r="K93" s="41">
        <v>233.12899999999999</v>
      </c>
      <c r="L93" s="41">
        <v>5.8000000000000003E-2</v>
      </c>
      <c r="M93" s="41">
        <v>88.792000000000002</v>
      </c>
      <c r="N93" s="43">
        <f>+M93-O93</f>
        <v>14.361999999999995</v>
      </c>
      <c r="O93" s="41">
        <v>74.430000000000007</v>
      </c>
      <c r="P93" s="44">
        <v>0</v>
      </c>
      <c r="Q93" s="44">
        <v>0</v>
      </c>
      <c r="R93" s="45">
        <f>SUM(P93:Q93)</f>
        <v>0</v>
      </c>
      <c r="S93" s="46">
        <v>1746</v>
      </c>
    </row>
    <row r="94" spans="2:19" ht="15.75" x14ac:dyDescent="0.25">
      <c r="B94" s="38">
        <f t="shared" si="17"/>
        <v>17</v>
      </c>
      <c r="C94" s="38" t="s">
        <v>157</v>
      </c>
      <c r="D94" s="39" t="s">
        <v>158</v>
      </c>
      <c r="E94" s="40">
        <v>44377</v>
      </c>
      <c r="F94" s="41">
        <v>2848.66896</v>
      </c>
      <c r="G94" s="42">
        <v>10</v>
      </c>
      <c r="H94" s="43">
        <f t="shared" si="14"/>
        <v>284.866896</v>
      </c>
      <c r="I94" s="41">
        <v>382.78831300000002</v>
      </c>
      <c r="J94" s="41">
        <v>942.41055600000004</v>
      </c>
      <c r="K94" s="41">
        <f>65.597647+3.969991</f>
        <v>69.567637999999988</v>
      </c>
      <c r="L94" s="41">
        <v>9.8514680000000006</v>
      </c>
      <c r="M94" s="41">
        <v>91.080707000000004</v>
      </c>
      <c r="N94" s="43">
        <f t="shared" si="15"/>
        <v>7.2228580000000022</v>
      </c>
      <c r="O94" s="41">
        <v>83.857849000000002</v>
      </c>
      <c r="P94" s="44">
        <v>0</v>
      </c>
      <c r="Q94" s="44">
        <v>0</v>
      </c>
      <c r="R94" s="45">
        <f t="shared" si="16"/>
        <v>0</v>
      </c>
      <c r="S94" s="46">
        <v>10172</v>
      </c>
    </row>
    <row r="95" spans="2:19" ht="15.75" x14ac:dyDescent="0.25">
      <c r="B95" s="38">
        <f t="shared" si="17"/>
        <v>18</v>
      </c>
      <c r="C95" s="38" t="s">
        <v>159</v>
      </c>
      <c r="D95" s="39" t="s">
        <v>160</v>
      </c>
      <c r="E95" s="40">
        <v>44561</v>
      </c>
      <c r="F95" s="41"/>
      <c r="G95" s="42">
        <v>10</v>
      </c>
      <c r="H95" s="43">
        <f t="shared" si="14"/>
        <v>0</v>
      </c>
      <c r="I95" s="41"/>
      <c r="J95" s="41"/>
      <c r="K95" s="41"/>
      <c r="L95" s="41"/>
      <c r="M95" s="41"/>
      <c r="N95" s="43">
        <f t="shared" si="15"/>
        <v>0</v>
      </c>
      <c r="O95" s="41"/>
      <c r="P95" s="44"/>
      <c r="Q95" s="44"/>
      <c r="R95" s="45">
        <f t="shared" si="16"/>
        <v>0</v>
      </c>
      <c r="S95" s="46"/>
    </row>
    <row r="96" spans="2:19" ht="15.75" x14ac:dyDescent="0.25">
      <c r="B96" s="38">
        <f t="shared" si="17"/>
        <v>19</v>
      </c>
      <c r="C96" s="38" t="s">
        <v>161</v>
      </c>
      <c r="D96" s="39" t="s">
        <v>162</v>
      </c>
      <c r="E96" s="40">
        <v>44561</v>
      </c>
      <c r="F96" s="41">
        <v>274.77199999999999</v>
      </c>
      <c r="G96" s="42">
        <v>10</v>
      </c>
      <c r="H96" s="43">
        <f t="shared" si="14"/>
        <v>27.4772</v>
      </c>
      <c r="I96" s="41"/>
      <c r="J96" s="41"/>
      <c r="K96" s="41"/>
      <c r="L96" s="41"/>
      <c r="M96" s="41">
        <v>535.33500000000004</v>
      </c>
      <c r="N96" s="43">
        <f t="shared" si="15"/>
        <v>124.81000000000006</v>
      </c>
      <c r="O96" s="41">
        <v>410.52499999999998</v>
      </c>
      <c r="P96" s="44">
        <f>100+50</f>
        <v>150</v>
      </c>
      <c r="Q96" s="44">
        <v>0</v>
      </c>
      <c r="R96" s="45">
        <f t="shared" si="16"/>
        <v>150</v>
      </c>
      <c r="S96" s="46"/>
    </row>
    <row r="97" spans="2:19" ht="15.75" x14ac:dyDescent="0.25">
      <c r="B97" s="38">
        <f t="shared" si="17"/>
        <v>20</v>
      </c>
      <c r="C97" s="38" t="s">
        <v>163</v>
      </c>
      <c r="D97" s="39" t="s">
        <v>164</v>
      </c>
      <c r="E97" s="40">
        <v>44561</v>
      </c>
      <c r="F97" s="41">
        <v>617.74</v>
      </c>
      <c r="G97" s="42">
        <v>10</v>
      </c>
      <c r="H97" s="43">
        <f t="shared" si="14"/>
        <v>61.774000000000001</v>
      </c>
      <c r="I97" s="41"/>
      <c r="J97" s="41"/>
      <c r="K97" s="41"/>
      <c r="L97" s="41"/>
      <c r="M97" s="41">
        <v>-288.73500000000001</v>
      </c>
      <c r="N97" s="43">
        <f t="shared" si="15"/>
        <v>11.339999999999975</v>
      </c>
      <c r="O97" s="41">
        <v>-300.07499999999999</v>
      </c>
      <c r="P97" s="44">
        <v>0</v>
      </c>
      <c r="Q97" s="44">
        <v>0</v>
      </c>
      <c r="R97" s="45">
        <f t="shared" si="16"/>
        <v>0</v>
      </c>
      <c r="S97" s="46"/>
    </row>
    <row r="98" spans="2:19" ht="15.75" x14ac:dyDescent="0.25">
      <c r="B98" s="38">
        <f t="shared" si="17"/>
        <v>21</v>
      </c>
      <c r="C98" s="38" t="s">
        <v>165</v>
      </c>
      <c r="D98" s="39" t="s">
        <v>166</v>
      </c>
      <c r="E98" s="40">
        <v>44377</v>
      </c>
      <c r="F98" s="41">
        <v>720</v>
      </c>
      <c r="G98" s="42">
        <v>10</v>
      </c>
      <c r="H98" s="43">
        <f t="shared" si="14"/>
        <v>72</v>
      </c>
      <c r="I98" s="41">
        <v>1603.1295889999999</v>
      </c>
      <c r="J98" s="41">
        <v>2375.510961</v>
      </c>
      <c r="K98" s="41">
        <f>993.694881+3.441389</f>
        <v>997.13626999999997</v>
      </c>
      <c r="L98" s="41">
        <v>7.4435469999999997</v>
      </c>
      <c r="M98" s="41">
        <v>484.705781</v>
      </c>
      <c r="N98" s="43">
        <f t="shared" si="15"/>
        <v>108.27161799999999</v>
      </c>
      <c r="O98" s="41">
        <v>376.43416300000001</v>
      </c>
      <c r="P98" s="44">
        <f>22.5+27.5</f>
        <v>50</v>
      </c>
      <c r="Q98" s="44">
        <v>0</v>
      </c>
      <c r="R98" s="45">
        <f t="shared" si="16"/>
        <v>50</v>
      </c>
      <c r="S98" s="46">
        <v>768</v>
      </c>
    </row>
    <row r="99" spans="2:19" ht="15.75" x14ac:dyDescent="0.25">
      <c r="B99" s="38">
        <f t="shared" si="17"/>
        <v>22</v>
      </c>
      <c r="C99" s="38" t="s">
        <v>167</v>
      </c>
      <c r="D99" s="39" t="s">
        <v>168</v>
      </c>
      <c r="E99" s="40">
        <v>44377</v>
      </c>
      <c r="F99" s="41">
        <v>495</v>
      </c>
      <c r="G99" s="42">
        <v>10</v>
      </c>
      <c r="H99" s="43">
        <f t="shared" si="14"/>
        <v>49.5</v>
      </c>
      <c r="I99" s="41">
        <v>494.48156599999999</v>
      </c>
      <c r="J99" s="41">
        <v>1199.501119</v>
      </c>
      <c r="K99" s="41">
        <f>368.169747+13.361705+39.980191</f>
        <v>421.51164299999994</v>
      </c>
      <c r="L99" s="41">
        <v>22.970443</v>
      </c>
      <c r="M99" s="41">
        <v>111.053687</v>
      </c>
      <c r="N99" s="43">
        <f t="shared" si="15"/>
        <v>29.055358999999996</v>
      </c>
      <c r="O99" s="41">
        <v>81.998328000000001</v>
      </c>
      <c r="P99" s="44">
        <v>0</v>
      </c>
      <c r="Q99" s="44">
        <f>10</f>
        <v>10</v>
      </c>
      <c r="R99" s="45">
        <f t="shared" si="16"/>
        <v>10</v>
      </c>
      <c r="S99" s="46">
        <v>767</v>
      </c>
    </row>
    <row r="100" spans="2:19" ht="15.75" x14ac:dyDescent="0.25">
      <c r="B100" s="38">
        <f t="shared" si="17"/>
        <v>23</v>
      </c>
      <c r="C100" s="38" t="s">
        <v>169</v>
      </c>
      <c r="D100" s="39" t="s">
        <v>170</v>
      </c>
      <c r="E100" s="40">
        <v>44377</v>
      </c>
      <c r="F100" s="41">
        <v>8014.7659999999996</v>
      </c>
      <c r="G100" s="42">
        <v>10</v>
      </c>
      <c r="H100" s="43">
        <f t="shared" si="14"/>
        <v>801.47659999999996</v>
      </c>
      <c r="I100" s="41">
        <v>9730.6290000000008</v>
      </c>
      <c r="J100" s="41">
        <v>11993.732</v>
      </c>
      <c r="K100" s="41">
        <f>1464.61+28.467+607.832</f>
        <v>2100.9090000000001</v>
      </c>
      <c r="L100" s="41">
        <v>0</v>
      </c>
      <c r="M100" s="41">
        <v>722.57799999999997</v>
      </c>
      <c r="N100" s="43">
        <f t="shared" si="15"/>
        <v>26.201999999999998</v>
      </c>
      <c r="O100" s="41">
        <v>696.37599999999998</v>
      </c>
      <c r="P100" s="44">
        <v>2</v>
      </c>
      <c r="Q100" s="44">
        <v>0</v>
      </c>
      <c r="R100" s="45">
        <f t="shared" si="16"/>
        <v>2</v>
      </c>
      <c r="S100" s="46">
        <v>2225</v>
      </c>
    </row>
    <row r="101" spans="2:19" ht="15.75" x14ac:dyDescent="0.25">
      <c r="B101" s="38">
        <f t="shared" si="17"/>
        <v>24</v>
      </c>
      <c r="C101" s="38" t="s">
        <v>171</v>
      </c>
      <c r="D101" s="39" t="s">
        <v>172</v>
      </c>
      <c r="E101" s="40">
        <v>44561</v>
      </c>
      <c r="F101" s="41"/>
      <c r="G101" s="42">
        <v>10</v>
      </c>
      <c r="H101" s="43">
        <f t="shared" si="14"/>
        <v>0</v>
      </c>
      <c r="I101" s="41"/>
      <c r="J101" s="41"/>
      <c r="K101" s="41"/>
      <c r="L101" s="41"/>
      <c r="M101" s="41"/>
      <c r="N101" s="43">
        <f t="shared" si="15"/>
        <v>0</v>
      </c>
      <c r="O101" s="41"/>
      <c r="P101" s="44"/>
      <c r="Q101" s="44"/>
      <c r="R101" s="45">
        <f t="shared" si="16"/>
        <v>0</v>
      </c>
      <c r="S101" s="46"/>
    </row>
    <row r="102" spans="2:19" ht="15.75" x14ac:dyDescent="0.25">
      <c r="B102" s="38">
        <f t="shared" si="17"/>
        <v>25</v>
      </c>
      <c r="C102" s="38" t="s">
        <v>173</v>
      </c>
      <c r="D102" s="39" t="s">
        <v>174</v>
      </c>
      <c r="E102" s="40">
        <v>44377</v>
      </c>
      <c r="F102" s="41">
        <v>300</v>
      </c>
      <c r="G102" s="42">
        <v>10</v>
      </c>
      <c r="H102" s="43">
        <f t="shared" si="14"/>
        <v>30</v>
      </c>
      <c r="I102" s="41">
        <v>303.123469</v>
      </c>
      <c r="J102" s="41">
        <v>613.48807699999998</v>
      </c>
      <c r="K102" s="41">
        <v>305.38210400000003</v>
      </c>
      <c r="L102" s="41">
        <v>4.6889570000000003</v>
      </c>
      <c r="M102" s="41">
        <v>106.587289</v>
      </c>
      <c r="N102" s="43">
        <f t="shared" si="15"/>
        <v>18.55968</v>
      </c>
      <c r="O102" s="41">
        <v>88.027608999999998</v>
      </c>
      <c r="P102" s="44">
        <v>0</v>
      </c>
      <c r="Q102" s="44">
        <v>0</v>
      </c>
      <c r="R102" s="45">
        <f t="shared" si="16"/>
        <v>0</v>
      </c>
      <c r="S102" s="46">
        <v>836</v>
      </c>
    </row>
    <row r="103" spans="2:19" ht="15.75" x14ac:dyDescent="0.25">
      <c r="B103" s="32"/>
      <c r="C103" s="32"/>
      <c r="D103" s="32"/>
      <c r="E103" s="33"/>
      <c r="F103" s="32"/>
      <c r="G103" s="51"/>
      <c r="H103" s="57"/>
      <c r="I103" s="35"/>
      <c r="J103" s="35"/>
      <c r="K103" s="35"/>
      <c r="L103" s="35"/>
      <c r="M103" s="35"/>
      <c r="N103" s="58"/>
      <c r="O103" s="35"/>
      <c r="P103" s="35"/>
      <c r="Q103" s="35"/>
      <c r="R103" s="58"/>
      <c r="S103" s="35"/>
    </row>
    <row r="104" spans="2:19" ht="18.75" x14ac:dyDescent="0.3">
      <c r="B104" s="32"/>
      <c r="C104" s="32"/>
      <c r="D104" s="68" t="s">
        <v>41</v>
      </c>
      <c r="E104" s="33"/>
      <c r="F104" s="32"/>
      <c r="G104" s="51"/>
      <c r="H104" s="57"/>
      <c r="I104" s="35"/>
      <c r="J104" s="35"/>
      <c r="K104" s="35"/>
      <c r="L104" s="35"/>
      <c r="M104" s="35"/>
      <c r="N104" s="58"/>
      <c r="O104" s="35"/>
      <c r="P104" s="35"/>
      <c r="Q104" s="35"/>
      <c r="R104" s="58"/>
      <c r="S104" s="35"/>
    </row>
    <row r="105" spans="2:19" ht="15.75" x14ac:dyDescent="0.25">
      <c r="B105" s="38">
        <v>1</v>
      </c>
      <c r="C105" s="38" t="s">
        <v>175</v>
      </c>
      <c r="D105" s="59" t="s">
        <v>176</v>
      </c>
      <c r="E105" s="40">
        <v>44377</v>
      </c>
      <c r="F105" s="41"/>
      <c r="G105" s="42">
        <v>10</v>
      </c>
      <c r="H105" s="43">
        <f t="shared" ref="H105:H110" si="18">+F105/G105</f>
        <v>0</v>
      </c>
      <c r="I105" s="41"/>
      <c r="J105" s="41"/>
      <c r="K105" s="41"/>
      <c r="L105" s="41"/>
      <c r="M105" s="41"/>
      <c r="N105" s="43">
        <f t="shared" ref="N105:N110" si="19">+M105-O105</f>
        <v>0</v>
      </c>
      <c r="O105" s="41"/>
      <c r="P105" s="44"/>
      <c r="Q105" s="44"/>
      <c r="R105" s="45">
        <f t="shared" ref="R105:R110" si="20">SUM(P105:Q105)</f>
        <v>0</v>
      </c>
      <c r="S105" s="46"/>
    </row>
    <row r="106" spans="2:19" ht="15.75" x14ac:dyDescent="0.25">
      <c r="B106" s="38">
        <f>+B105+1</f>
        <v>2</v>
      </c>
      <c r="C106" s="38" t="s">
        <v>177</v>
      </c>
      <c r="D106" s="39" t="s">
        <v>178</v>
      </c>
      <c r="E106" s="40">
        <v>44377</v>
      </c>
      <c r="F106" s="41">
        <v>1413.355</v>
      </c>
      <c r="G106" s="42">
        <v>10</v>
      </c>
      <c r="H106" s="43">
        <f t="shared" si="18"/>
        <v>141.3355</v>
      </c>
      <c r="I106" s="41">
        <v>432.44567499999999</v>
      </c>
      <c r="J106" s="41">
        <v>1447.0650109999999</v>
      </c>
      <c r="K106" s="41">
        <f>94.569099+0.026018</f>
        <v>94.595116999999988</v>
      </c>
      <c r="L106" s="41">
        <v>3.6589999999999999E-3</v>
      </c>
      <c r="M106" s="41">
        <v>90.130228000000002</v>
      </c>
      <c r="N106" s="43">
        <f t="shared" si="19"/>
        <v>0</v>
      </c>
      <c r="O106" s="41">
        <v>90.130228000000002</v>
      </c>
      <c r="P106" s="44">
        <v>0</v>
      </c>
      <c r="Q106" s="44">
        <v>0</v>
      </c>
      <c r="R106" s="45">
        <f t="shared" si="20"/>
        <v>0</v>
      </c>
      <c r="S106" s="46">
        <v>299</v>
      </c>
    </row>
    <row r="107" spans="2:19" ht="15.75" x14ac:dyDescent="0.25">
      <c r="B107" s="38">
        <f>+B106+1</f>
        <v>3</v>
      </c>
      <c r="C107" s="38" t="s">
        <v>179</v>
      </c>
      <c r="D107" s="39" t="s">
        <v>180</v>
      </c>
      <c r="E107" s="40">
        <v>44377</v>
      </c>
      <c r="F107" s="41">
        <v>1865.68487</v>
      </c>
      <c r="G107" s="42">
        <v>10</v>
      </c>
      <c r="H107" s="43">
        <f t="shared" si="18"/>
        <v>186.568487</v>
      </c>
      <c r="I107" s="41">
        <v>-552.51458600000001</v>
      </c>
      <c r="J107" s="41">
        <f>87.983328+10.389573</f>
        <v>98.372900999999999</v>
      </c>
      <c r="K107" s="41">
        <f>0.5+0.515408+0.382467+7.025214</f>
        <v>8.4230890000000009</v>
      </c>
      <c r="L107" s="41">
        <v>7.9000000000000001E-4</v>
      </c>
      <c r="M107" s="41">
        <v>6.961716</v>
      </c>
      <c r="N107" s="43">
        <f t="shared" si="19"/>
        <v>4.0000000000000036E-2</v>
      </c>
      <c r="O107" s="41">
        <v>6.921716</v>
      </c>
      <c r="P107" s="44">
        <v>0</v>
      </c>
      <c r="Q107" s="44">
        <v>0</v>
      </c>
      <c r="R107" s="45">
        <f t="shared" si="20"/>
        <v>0</v>
      </c>
      <c r="S107" s="46">
        <v>6902</v>
      </c>
    </row>
    <row r="108" spans="2:19" ht="15.75" x14ac:dyDescent="0.25">
      <c r="B108" s="38">
        <f t="shared" ref="B108:B110" si="21">+B107+1</f>
        <v>4</v>
      </c>
      <c r="C108" s="38" t="s">
        <v>181</v>
      </c>
      <c r="D108" s="39" t="s">
        <v>182</v>
      </c>
      <c r="E108" s="40">
        <v>44377</v>
      </c>
      <c r="F108" s="41"/>
      <c r="G108" s="42">
        <v>10</v>
      </c>
      <c r="H108" s="43">
        <f t="shared" si="18"/>
        <v>0</v>
      </c>
      <c r="I108" s="41"/>
      <c r="J108" s="41"/>
      <c r="K108" s="41"/>
      <c r="L108" s="41"/>
      <c r="M108" s="41"/>
      <c r="N108" s="43">
        <f t="shared" si="19"/>
        <v>0</v>
      </c>
      <c r="O108" s="41"/>
      <c r="P108" s="44"/>
      <c r="Q108" s="44"/>
      <c r="R108" s="45">
        <f t="shared" si="20"/>
        <v>0</v>
      </c>
      <c r="S108" s="46"/>
    </row>
    <row r="109" spans="2:19" ht="15.75" x14ac:dyDescent="0.25">
      <c r="B109" s="38">
        <f t="shared" si="21"/>
        <v>5</v>
      </c>
      <c r="C109" s="38" t="s">
        <v>183</v>
      </c>
      <c r="D109" s="39" t="s">
        <v>184</v>
      </c>
      <c r="E109" s="40">
        <v>44377</v>
      </c>
      <c r="F109" s="41"/>
      <c r="G109" s="42">
        <v>10</v>
      </c>
      <c r="H109" s="43">
        <f t="shared" si="18"/>
        <v>0</v>
      </c>
      <c r="I109" s="41"/>
      <c r="J109" s="41"/>
      <c r="K109" s="41"/>
      <c r="L109" s="41"/>
      <c r="M109" s="41"/>
      <c r="N109" s="43">
        <f t="shared" si="19"/>
        <v>0</v>
      </c>
      <c r="O109" s="41"/>
      <c r="P109" s="44"/>
      <c r="Q109" s="44"/>
      <c r="R109" s="45">
        <f t="shared" si="20"/>
        <v>0</v>
      </c>
      <c r="S109" s="46"/>
    </row>
    <row r="110" spans="2:19" ht="15.75" x14ac:dyDescent="0.25">
      <c r="B110" s="38">
        <f t="shared" si="21"/>
        <v>6</v>
      </c>
      <c r="C110" s="38" t="s">
        <v>185</v>
      </c>
      <c r="D110" s="39" t="s">
        <v>186</v>
      </c>
      <c r="E110" s="40">
        <v>44377</v>
      </c>
      <c r="F110" s="41"/>
      <c r="G110" s="42">
        <v>10</v>
      </c>
      <c r="H110" s="43">
        <f t="shared" si="18"/>
        <v>0</v>
      </c>
      <c r="I110" s="41"/>
      <c r="J110" s="41"/>
      <c r="K110" s="41"/>
      <c r="L110" s="41"/>
      <c r="M110" s="41"/>
      <c r="N110" s="43">
        <f t="shared" si="19"/>
        <v>0</v>
      </c>
      <c r="O110" s="41"/>
      <c r="P110" s="44"/>
      <c r="Q110" s="44"/>
      <c r="R110" s="45">
        <f t="shared" si="20"/>
        <v>0</v>
      </c>
      <c r="S110" s="46"/>
    </row>
    <row r="111" spans="2:19" ht="15.75" x14ac:dyDescent="0.25">
      <c r="B111" s="32"/>
      <c r="C111" s="32"/>
      <c r="D111" s="32"/>
      <c r="E111" s="33"/>
      <c r="F111" s="32"/>
      <c r="G111" s="51"/>
      <c r="H111" s="57"/>
      <c r="I111" s="35"/>
      <c r="J111" s="35"/>
      <c r="K111" s="35"/>
      <c r="L111" s="35"/>
      <c r="M111" s="35"/>
      <c r="N111" s="58"/>
      <c r="O111" s="35"/>
      <c r="P111" s="35"/>
      <c r="Q111" s="35"/>
      <c r="R111" s="58"/>
      <c r="S111" s="35"/>
    </row>
    <row r="112" spans="2:19" ht="15.75" x14ac:dyDescent="0.25">
      <c r="B112" s="38">
        <f>COUNT(B78:B111)</f>
        <v>31</v>
      </c>
      <c r="C112" s="38"/>
      <c r="D112" s="60"/>
      <c r="E112" s="40"/>
      <c r="F112" s="60">
        <f>SUM(F78:F111)</f>
        <v>34991.65812</v>
      </c>
      <c r="G112" s="61"/>
      <c r="H112" s="62">
        <f t="shared" ref="H112:O112" si="22">SUM(H78:H111)</f>
        <v>3499.1658119999997</v>
      </c>
      <c r="I112" s="60">
        <f t="shared" si="22"/>
        <v>35069.886760000009</v>
      </c>
      <c r="J112" s="60">
        <f t="shared" si="22"/>
        <v>53736.133158999997</v>
      </c>
      <c r="K112" s="60">
        <f t="shared" si="22"/>
        <v>9037.6317290000025</v>
      </c>
      <c r="L112" s="60">
        <f t="shared" si="22"/>
        <v>586.13674499999991</v>
      </c>
      <c r="M112" s="60">
        <f t="shared" si="22"/>
        <v>10919.336617999996</v>
      </c>
      <c r="N112" s="63">
        <f t="shared" si="22"/>
        <v>1909.7989790000001</v>
      </c>
      <c r="O112" s="60">
        <f t="shared" si="22"/>
        <v>9009.5376390000001</v>
      </c>
      <c r="P112" s="64"/>
      <c r="Q112" s="64"/>
      <c r="R112" s="65"/>
      <c r="S112" s="66">
        <f>SUM(S78:S111)</f>
        <v>48887</v>
      </c>
    </row>
    <row r="113" spans="2:19" ht="15.75" x14ac:dyDescent="0.25">
      <c r="B113" s="32"/>
      <c r="C113" s="32"/>
      <c r="D113" s="32"/>
      <c r="E113" s="33"/>
      <c r="F113" s="32"/>
      <c r="G113" s="51"/>
      <c r="H113" s="57"/>
      <c r="I113" s="35"/>
      <c r="J113" s="35"/>
      <c r="K113" s="35"/>
      <c r="L113" s="35"/>
      <c r="M113" s="35"/>
      <c r="N113" s="58"/>
      <c r="O113" s="35"/>
      <c r="P113" s="35"/>
      <c r="Q113" s="35"/>
      <c r="R113" s="58"/>
      <c r="S113" s="35"/>
    </row>
    <row r="114" spans="2:19" ht="15.75" x14ac:dyDescent="0.25">
      <c r="B114" s="32"/>
      <c r="C114" s="32"/>
      <c r="D114" s="32"/>
      <c r="E114" s="33"/>
      <c r="F114" s="32"/>
      <c r="G114" s="51"/>
      <c r="H114" s="57"/>
      <c r="I114" s="35"/>
      <c r="J114" s="35"/>
      <c r="K114" s="35"/>
      <c r="L114" s="35"/>
      <c r="M114" s="35"/>
      <c r="N114" s="58"/>
      <c r="O114" s="35"/>
      <c r="P114" s="35"/>
      <c r="Q114" s="35"/>
      <c r="R114" s="58"/>
      <c r="S114" s="35"/>
    </row>
    <row r="115" spans="2:19" ht="18.75" x14ac:dyDescent="0.3">
      <c r="B115" s="32"/>
      <c r="C115" s="37">
        <v>5</v>
      </c>
      <c r="D115" s="37" t="s">
        <v>187</v>
      </c>
      <c r="E115" s="73"/>
      <c r="F115" s="74"/>
      <c r="G115" s="51"/>
      <c r="H115" s="57"/>
      <c r="I115" s="35"/>
      <c r="J115" s="35"/>
      <c r="K115" s="35"/>
      <c r="L115" s="35"/>
      <c r="M115" s="35"/>
      <c r="N115" s="58"/>
      <c r="O115" s="35"/>
      <c r="P115" s="35"/>
      <c r="Q115" s="35"/>
      <c r="R115" s="58"/>
      <c r="S115" s="35"/>
    </row>
    <row r="116" spans="2:19" ht="15.75" x14ac:dyDescent="0.25">
      <c r="B116" s="32"/>
      <c r="C116" s="32"/>
      <c r="D116" s="32"/>
      <c r="E116" s="33"/>
      <c r="F116" s="32"/>
      <c r="G116" s="51"/>
      <c r="H116" s="57"/>
      <c r="I116" s="35"/>
      <c r="J116" s="35"/>
      <c r="K116" s="35"/>
      <c r="L116" s="35"/>
      <c r="M116" s="35"/>
      <c r="N116" s="58"/>
      <c r="O116" s="35"/>
      <c r="P116" s="35"/>
      <c r="Q116" s="35"/>
      <c r="R116" s="58"/>
      <c r="S116" s="35"/>
    </row>
    <row r="117" spans="2:19" ht="15.75" x14ac:dyDescent="0.25">
      <c r="B117" s="72">
        <v>1</v>
      </c>
      <c r="C117" s="72" t="s">
        <v>188</v>
      </c>
      <c r="D117" s="39" t="s">
        <v>189</v>
      </c>
      <c r="E117" s="40">
        <v>44561</v>
      </c>
      <c r="F117" s="41">
        <v>11450.739</v>
      </c>
      <c r="G117" s="42">
        <v>10</v>
      </c>
      <c r="H117" s="43">
        <f t="shared" ref="H117:H136" si="23">+F117/G117</f>
        <v>1145.0738999999999</v>
      </c>
      <c r="I117" s="41">
        <v>127244.539</v>
      </c>
      <c r="J117" s="41">
        <v>2010156.003</v>
      </c>
      <c r="K117" s="41">
        <f>118648.853+15938.231</f>
        <v>134587.084</v>
      </c>
      <c r="L117" s="41">
        <v>0</v>
      </c>
      <c r="M117" s="41">
        <v>28390.834999999999</v>
      </c>
      <c r="N117" s="43">
        <f t="shared" ref="N117:N136" si="24">+M117-O117</f>
        <v>11077.036</v>
      </c>
      <c r="O117" s="41">
        <v>17313.798999999999</v>
      </c>
      <c r="P117" s="44">
        <f>20+20+20+20</f>
        <v>80</v>
      </c>
      <c r="Q117" s="44">
        <v>0</v>
      </c>
      <c r="R117" s="45">
        <f t="shared" ref="R117:R136" si="25">SUM(P117:Q117)</f>
        <v>80</v>
      </c>
      <c r="S117" s="46">
        <v>19297</v>
      </c>
    </row>
    <row r="118" spans="2:19" ht="15.75" x14ac:dyDescent="0.25">
      <c r="B118" s="72">
        <f>+B117+1</f>
        <v>2</v>
      </c>
      <c r="C118" s="38" t="s">
        <v>190</v>
      </c>
      <c r="D118" s="39" t="s">
        <v>191</v>
      </c>
      <c r="E118" s="40">
        <v>44561</v>
      </c>
      <c r="F118" s="41">
        <v>12602.602000000001</v>
      </c>
      <c r="G118" s="42">
        <v>10</v>
      </c>
      <c r="H118" s="43">
        <f t="shared" si="23"/>
        <v>1260.2602000000002</v>
      </c>
      <c r="I118" s="41">
        <v>55902.493000000002</v>
      </c>
      <c r="J118" s="41">
        <v>1259144.1089999999</v>
      </c>
      <c r="K118" s="41">
        <f>77549.921+9369.65</f>
        <v>86919.570999999996</v>
      </c>
      <c r="L118" s="41">
        <v>0</v>
      </c>
      <c r="M118" s="41">
        <v>15645.272999999999</v>
      </c>
      <c r="N118" s="43">
        <f t="shared" si="24"/>
        <v>5943.8869999999988</v>
      </c>
      <c r="O118" s="41">
        <v>9701.3860000000004</v>
      </c>
      <c r="P118" s="44">
        <v>0</v>
      </c>
      <c r="Q118" s="44">
        <v>0</v>
      </c>
      <c r="R118" s="45">
        <f t="shared" si="25"/>
        <v>0</v>
      </c>
      <c r="S118" s="46">
        <v>14471</v>
      </c>
    </row>
    <row r="119" spans="2:19" ht="15.75" x14ac:dyDescent="0.25">
      <c r="B119" s="72">
        <f t="shared" ref="B119:B136" si="26">+B118+1</f>
        <v>3</v>
      </c>
      <c r="C119" s="38" t="s">
        <v>192</v>
      </c>
      <c r="D119" s="39" t="s">
        <v>193</v>
      </c>
      <c r="E119" s="40">
        <v>44561</v>
      </c>
      <c r="F119" s="41">
        <v>17771.651000000002</v>
      </c>
      <c r="G119" s="42">
        <v>10</v>
      </c>
      <c r="H119" s="43">
        <f t="shared" si="23"/>
        <v>1777.1651000000002</v>
      </c>
      <c r="I119" s="41">
        <v>100002.681</v>
      </c>
      <c r="J119" s="41">
        <v>1734321.3389999999</v>
      </c>
      <c r="K119" s="41">
        <f>100182.288+16473.771</f>
        <v>116656.05900000001</v>
      </c>
      <c r="L119" s="41">
        <v>0</v>
      </c>
      <c r="M119" s="41">
        <v>23370.361000000001</v>
      </c>
      <c r="N119" s="43">
        <f t="shared" si="24"/>
        <v>9153.6869999999999</v>
      </c>
      <c r="O119" s="41">
        <v>14216.674000000001</v>
      </c>
      <c r="P119" s="44">
        <f>20+20</f>
        <v>40</v>
      </c>
      <c r="Q119" s="44">
        <v>0</v>
      </c>
      <c r="R119" s="45">
        <f t="shared" si="25"/>
        <v>40</v>
      </c>
      <c r="S119" s="46">
        <v>11702</v>
      </c>
    </row>
    <row r="120" spans="2:19" ht="15.75" x14ac:dyDescent="0.25">
      <c r="B120" s="72">
        <f t="shared" si="26"/>
        <v>4</v>
      </c>
      <c r="C120" s="38" t="s">
        <v>194</v>
      </c>
      <c r="D120" s="39" t="s">
        <v>195</v>
      </c>
      <c r="E120" s="40">
        <v>44561</v>
      </c>
      <c r="F120" s="41">
        <v>11114.25</v>
      </c>
      <c r="G120" s="42">
        <v>10</v>
      </c>
      <c r="H120" s="43">
        <f t="shared" si="23"/>
        <v>1111.425</v>
      </c>
      <c r="I120" s="41">
        <v>90015.047999999995</v>
      </c>
      <c r="J120" s="41">
        <v>1849652.12</v>
      </c>
      <c r="K120" s="41">
        <f>116752.195+14027.017</f>
        <v>130779.212</v>
      </c>
      <c r="L120" s="41">
        <v>0</v>
      </c>
      <c r="M120" s="41">
        <v>30272.788</v>
      </c>
      <c r="N120" s="43">
        <f t="shared" si="24"/>
        <v>11570.489000000001</v>
      </c>
      <c r="O120" s="41">
        <v>18702.298999999999</v>
      </c>
      <c r="P120" s="44">
        <v>70</v>
      </c>
      <c r="Q120" s="44">
        <v>0</v>
      </c>
      <c r="R120" s="45">
        <f t="shared" si="25"/>
        <v>70</v>
      </c>
      <c r="S120" s="46">
        <v>7220</v>
      </c>
    </row>
    <row r="121" spans="2:19" ht="15.75" x14ac:dyDescent="0.25">
      <c r="B121" s="72">
        <f t="shared" si="26"/>
        <v>5</v>
      </c>
      <c r="C121" s="38" t="s">
        <v>196</v>
      </c>
      <c r="D121" s="39" t="s">
        <v>197</v>
      </c>
      <c r="E121" s="40">
        <v>44561</v>
      </c>
      <c r="F121" s="41">
        <v>11007.991</v>
      </c>
      <c r="G121" s="42">
        <v>10</v>
      </c>
      <c r="H121" s="43">
        <f t="shared" si="23"/>
        <v>1100.7991</v>
      </c>
      <c r="I121" s="41">
        <v>22511.202000000001</v>
      </c>
      <c r="J121" s="41">
        <v>408390.174</v>
      </c>
      <c r="K121" s="41">
        <v>25354.857</v>
      </c>
      <c r="L121" s="41">
        <v>0</v>
      </c>
      <c r="M121" s="41">
        <v>3396.9059999999999</v>
      </c>
      <c r="N121" s="43">
        <f t="shared" si="24"/>
        <v>1265.556</v>
      </c>
      <c r="O121" s="41">
        <v>2131.35</v>
      </c>
      <c r="P121" s="44">
        <v>0</v>
      </c>
      <c r="Q121" s="44">
        <v>0</v>
      </c>
      <c r="R121" s="45">
        <f t="shared" si="25"/>
        <v>0</v>
      </c>
      <c r="S121" s="46">
        <v>20320</v>
      </c>
    </row>
    <row r="122" spans="2:19" ht="15.75" x14ac:dyDescent="0.25">
      <c r="B122" s="72">
        <f t="shared" si="26"/>
        <v>6</v>
      </c>
      <c r="C122" s="38" t="s">
        <v>198</v>
      </c>
      <c r="D122" s="39" t="s">
        <v>199</v>
      </c>
      <c r="E122" s="40">
        <v>44561</v>
      </c>
      <c r="F122" s="41">
        <v>10502.71</v>
      </c>
      <c r="G122" s="42">
        <v>10</v>
      </c>
      <c r="H122" s="43">
        <f t="shared" si="23"/>
        <v>1050.271</v>
      </c>
      <c r="I122" s="41">
        <v>16569.874</v>
      </c>
      <c r="J122" s="41">
        <v>358606.04499999998</v>
      </c>
      <c r="K122" s="41">
        <v>22961.983</v>
      </c>
      <c r="L122" s="41">
        <v>0</v>
      </c>
      <c r="M122" s="41">
        <v>1680.1849999999999</v>
      </c>
      <c r="N122" s="43">
        <f t="shared" si="24"/>
        <v>576.55799999999999</v>
      </c>
      <c r="O122" s="41">
        <v>1103.627</v>
      </c>
      <c r="P122" s="44">
        <v>0</v>
      </c>
      <c r="Q122" s="44">
        <v>5</v>
      </c>
      <c r="R122" s="45">
        <f t="shared" si="25"/>
        <v>5</v>
      </c>
      <c r="S122" s="46">
        <v>27875</v>
      </c>
    </row>
    <row r="123" spans="2:19" ht="15.75" x14ac:dyDescent="0.25">
      <c r="B123" s="72">
        <f t="shared" si="26"/>
        <v>7</v>
      </c>
      <c r="C123" s="38" t="s">
        <v>200</v>
      </c>
      <c r="D123" s="39" t="s">
        <v>201</v>
      </c>
      <c r="E123" s="40">
        <v>44561</v>
      </c>
      <c r="F123" s="41">
        <v>26173.766</v>
      </c>
      <c r="G123" s="42">
        <v>10</v>
      </c>
      <c r="H123" s="43">
        <f t="shared" si="23"/>
        <v>2617.3766000000001</v>
      </c>
      <c r="I123" s="41">
        <v>54832.875999999997</v>
      </c>
      <c r="J123" s="41">
        <v>1196951.9909999999</v>
      </c>
      <c r="K123" s="41">
        <f>81651.255+7903.815</f>
        <v>89555.07</v>
      </c>
      <c r="L123" s="41">
        <v>0</v>
      </c>
      <c r="M123" s="41">
        <v>18408.012999999999</v>
      </c>
      <c r="N123" s="43">
        <f t="shared" si="24"/>
        <v>5967.8779999999988</v>
      </c>
      <c r="O123" s="41">
        <v>12440.135</v>
      </c>
      <c r="P123" s="44">
        <v>0</v>
      </c>
      <c r="Q123" s="44">
        <v>12.5</v>
      </c>
      <c r="R123" s="45">
        <f t="shared" si="25"/>
        <v>12.5</v>
      </c>
      <c r="S123" s="46">
        <v>17676</v>
      </c>
    </row>
    <row r="124" spans="2:19" ht="15.75" x14ac:dyDescent="0.25">
      <c r="B124" s="72">
        <f t="shared" si="26"/>
        <v>8</v>
      </c>
      <c r="C124" s="38" t="s">
        <v>202</v>
      </c>
      <c r="D124" s="39" t="s">
        <v>203</v>
      </c>
      <c r="E124" s="40">
        <v>44561</v>
      </c>
      <c r="F124" s="41">
        <v>15176.965</v>
      </c>
      <c r="G124" s="42">
        <v>10</v>
      </c>
      <c r="H124" s="43">
        <f t="shared" si="23"/>
        <v>1517.6965</v>
      </c>
      <c r="I124" s="41">
        <v>65823.322</v>
      </c>
      <c r="J124" s="41">
        <v>869612.20600000001</v>
      </c>
      <c r="K124" s="41">
        <f>53868.721+8509.193</f>
        <v>62377.913999999997</v>
      </c>
      <c r="L124" s="41">
        <v>0</v>
      </c>
      <c r="M124" s="41">
        <v>13408.837</v>
      </c>
      <c r="N124" s="43">
        <f t="shared" si="24"/>
        <v>5255.6569999999992</v>
      </c>
      <c r="O124" s="41">
        <v>8153.18</v>
      </c>
      <c r="P124" s="44">
        <f>5+10</f>
        <v>15</v>
      </c>
      <c r="Q124" s="44">
        <v>0</v>
      </c>
      <c r="R124" s="45">
        <f t="shared" si="25"/>
        <v>15</v>
      </c>
      <c r="S124" s="46">
        <v>15896</v>
      </c>
    </row>
    <row r="125" spans="2:19" ht="15.75" x14ac:dyDescent="0.25">
      <c r="B125" s="72">
        <f t="shared" si="26"/>
        <v>9</v>
      </c>
      <c r="C125" s="38" t="s">
        <v>204</v>
      </c>
      <c r="D125" s="39" t="s">
        <v>205</v>
      </c>
      <c r="E125" s="40">
        <v>44561</v>
      </c>
      <c r="F125" s="41">
        <v>14668.525</v>
      </c>
      <c r="G125" s="42">
        <v>10</v>
      </c>
      <c r="H125" s="43">
        <f t="shared" si="23"/>
        <v>1466.8525</v>
      </c>
      <c r="I125" s="41">
        <v>257928.91</v>
      </c>
      <c r="J125" s="41">
        <v>4074588.2059999998</v>
      </c>
      <c r="K125" s="41">
        <f>245252.121+30724.433</f>
        <v>275976.554</v>
      </c>
      <c r="L125" s="41">
        <v>0</v>
      </c>
      <c r="M125" s="41">
        <v>58974.463000000003</v>
      </c>
      <c r="N125" s="43">
        <f t="shared" si="24"/>
        <v>24702.969000000005</v>
      </c>
      <c r="O125" s="41">
        <v>34271.493999999999</v>
      </c>
      <c r="P125" s="44">
        <f>17.5+17.5+17.5+22.5</f>
        <v>75</v>
      </c>
      <c r="Q125" s="44">
        <v>0</v>
      </c>
      <c r="R125" s="45">
        <f t="shared" si="25"/>
        <v>75</v>
      </c>
      <c r="S125" s="46">
        <v>91934</v>
      </c>
    </row>
    <row r="126" spans="2:19" ht="15.75" x14ac:dyDescent="0.25">
      <c r="B126" s="72">
        <f t="shared" si="26"/>
        <v>10</v>
      </c>
      <c r="C126" s="38" t="s">
        <v>206</v>
      </c>
      <c r="D126" s="39" t="s">
        <v>207</v>
      </c>
      <c r="E126" s="40">
        <v>44561</v>
      </c>
      <c r="F126" s="41">
        <v>10478.315000000001</v>
      </c>
      <c r="G126" s="42">
        <v>10</v>
      </c>
      <c r="H126" s="43">
        <f t="shared" si="23"/>
        <v>1047.8315</v>
      </c>
      <c r="I126" s="41">
        <v>62974.652000000002</v>
      </c>
      <c r="J126" s="41">
        <v>1224416.44</v>
      </c>
      <c r="K126" s="41">
        <f>73395.933+11140.127</f>
        <v>84536.06</v>
      </c>
      <c r="L126" s="41">
        <v>0</v>
      </c>
      <c r="M126" s="41">
        <v>21540.703000000001</v>
      </c>
      <c r="N126" s="43">
        <f t="shared" si="24"/>
        <v>8082.130000000001</v>
      </c>
      <c r="O126" s="41">
        <v>13458.573</v>
      </c>
      <c r="P126" s="44">
        <f>20+30</f>
        <v>50</v>
      </c>
      <c r="Q126" s="44">
        <v>0</v>
      </c>
      <c r="R126" s="45">
        <f t="shared" si="25"/>
        <v>50</v>
      </c>
      <c r="S126" s="46">
        <v>2877</v>
      </c>
    </row>
    <row r="127" spans="2:19" ht="15.75" x14ac:dyDescent="0.25">
      <c r="B127" s="72">
        <f t="shared" si="26"/>
        <v>11</v>
      </c>
      <c r="C127" s="38" t="s">
        <v>208</v>
      </c>
      <c r="D127" s="39" t="s">
        <v>209</v>
      </c>
      <c r="E127" s="40">
        <v>44561</v>
      </c>
      <c r="F127" s="41">
        <v>10119.242</v>
      </c>
      <c r="G127" s="42">
        <v>10</v>
      </c>
      <c r="H127" s="43">
        <f t="shared" si="23"/>
        <v>1011.9242</v>
      </c>
      <c r="I127" s="41">
        <v>22024.082999999999</v>
      </c>
      <c r="J127" s="41">
        <v>584288.85400000005</v>
      </c>
      <c r="K127" s="41">
        <v>44202.110999999997</v>
      </c>
      <c r="L127" s="41">
        <v>0</v>
      </c>
      <c r="M127" s="41">
        <v>2208.9250000000002</v>
      </c>
      <c r="N127" s="43">
        <f t="shared" si="24"/>
        <v>904.53300000000013</v>
      </c>
      <c r="O127" s="41">
        <v>1304.3920000000001</v>
      </c>
      <c r="P127" s="44">
        <v>0</v>
      </c>
      <c r="Q127" s="44">
        <v>0</v>
      </c>
      <c r="R127" s="45">
        <f t="shared" si="25"/>
        <v>0</v>
      </c>
      <c r="S127" s="46">
        <v>4292</v>
      </c>
    </row>
    <row r="128" spans="2:19" ht="15.75" x14ac:dyDescent="0.25">
      <c r="B128" s="72">
        <f t="shared" si="26"/>
        <v>12</v>
      </c>
      <c r="C128" s="38" t="s">
        <v>210</v>
      </c>
      <c r="D128" s="39" t="s">
        <v>211</v>
      </c>
      <c r="E128" s="40">
        <v>44561</v>
      </c>
      <c r="F128" s="41">
        <v>11850.6</v>
      </c>
      <c r="G128" s="42">
        <v>10</v>
      </c>
      <c r="H128" s="43">
        <f t="shared" si="23"/>
        <v>1185.06</v>
      </c>
      <c r="I128" s="41">
        <v>174407.408</v>
      </c>
      <c r="J128" s="41">
        <v>1970468.4480000001</v>
      </c>
      <c r="K128" s="41">
        <f>123334.306+20073.736</f>
        <v>143408.04199999999</v>
      </c>
      <c r="L128" s="41">
        <v>0</v>
      </c>
      <c r="M128" s="41">
        <v>51989.31</v>
      </c>
      <c r="N128" s="43">
        <f t="shared" si="24"/>
        <v>21178.262999999999</v>
      </c>
      <c r="O128" s="41">
        <v>30811.046999999999</v>
      </c>
      <c r="P128" s="44">
        <f>45+50+45+50</f>
        <v>190</v>
      </c>
      <c r="Q128" s="44">
        <v>0</v>
      </c>
      <c r="R128" s="45">
        <f t="shared" si="25"/>
        <v>190</v>
      </c>
      <c r="S128" s="46">
        <v>56294</v>
      </c>
    </row>
    <row r="129" spans="2:19" ht="15.75" x14ac:dyDescent="0.25">
      <c r="B129" s="72">
        <f t="shared" si="26"/>
        <v>13</v>
      </c>
      <c r="C129" s="38" t="s">
        <v>212</v>
      </c>
      <c r="D129" s="39" t="s">
        <v>213</v>
      </c>
      <c r="E129" s="40">
        <v>44561</v>
      </c>
      <c r="F129" s="41">
        <v>16269.312</v>
      </c>
      <c r="G129" s="42">
        <v>10</v>
      </c>
      <c r="H129" s="43">
        <f t="shared" si="23"/>
        <v>1626.9312</v>
      </c>
      <c r="I129" s="41">
        <v>86557.774999999994</v>
      </c>
      <c r="J129" s="41">
        <v>1902971.4</v>
      </c>
      <c r="K129" s="41">
        <v>124964.34699999999</v>
      </c>
      <c r="L129" s="41">
        <v>0</v>
      </c>
      <c r="M129" s="41">
        <v>47496.745000000003</v>
      </c>
      <c r="N129" s="43">
        <f t="shared" si="24"/>
        <v>19141.588000000003</v>
      </c>
      <c r="O129" s="41">
        <v>28355.156999999999</v>
      </c>
      <c r="P129" s="44">
        <f>15+15+15+15</f>
        <v>60</v>
      </c>
      <c r="Q129" s="44">
        <v>15</v>
      </c>
      <c r="R129" s="45">
        <f t="shared" si="25"/>
        <v>75</v>
      </c>
      <c r="S129" s="46">
        <v>5906</v>
      </c>
    </row>
    <row r="130" spans="2:19" ht="15.75" x14ac:dyDescent="0.25">
      <c r="B130" s="72">
        <f t="shared" si="26"/>
        <v>14</v>
      </c>
      <c r="C130" s="38" t="s">
        <v>214</v>
      </c>
      <c r="D130" s="39" t="s">
        <v>215</v>
      </c>
      <c r="E130" s="40">
        <v>44561</v>
      </c>
      <c r="F130" s="41">
        <v>21275.13</v>
      </c>
      <c r="G130" s="42">
        <v>10</v>
      </c>
      <c r="H130" s="43">
        <f t="shared" si="23"/>
        <v>2127.5129999999999</v>
      </c>
      <c r="I130" s="41"/>
      <c r="J130" s="41"/>
      <c r="K130" s="41"/>
      <c r="L130" s="41"/>
      <c r="M130" s="41">
        <v>52860.408000000003</v>
      </c>
      <c r="N130" s="43">
        <f t="shared" si="24"/>
        <v>24852.420000000002</v>
      </c>
      <c r="O130" s="41">
        <v>28007.988000000001</v>
      </c>
      <c r="P130" s="44">
        <v>10</v>
      </c>
      <c r="Q130" s="44">
        <v>0</v>
      </c>
      <c r="R130" s="45">
        <f t="shared" si="25"/>
        <v>10</v>
      </c>
      <c r="S130" s="46"/>
    </row>
    <row r="131" spans="2:19" ht="15.75" x14ac:dyDescent="0.25">
      <c r="B131" s="72">
        <f t="shared" si="26"/>
        <v>15</v>
      </c>
      <c r="C131" s="38" t="s">
        <v>216</v>
      </c>
      <c r="D131" s="39" t="s">
        <v>217</v>
      </c>
      <c r="E131" s="40">
        <v>44561</v>
      </c>
      <c r="F131" s="41">
        <v>10082.387000000001</v>
      </c>
      <c r="G131" s="42">
        <v>10</v>
      </c>
      <c r="H131" s="43">
        <f t="shared" si="23"/>
        <v>1008.2387000000001</v>
      </c>
      <c r="I131" s="41">
        <v>15900.425999999999</v>
      </c>
      <c r="J131" s="41">
        <v>201139.516</v>
      </c>
      <c r="K131" s="41">
        <f>13982.612+1470.995</f>
        <v>15453.607</v>
      </c>
      <c r="L131" s="41">
        <v>0</v>
      </c>
      <c r="M131" s="41">
        <v>1304.096</v>
      </c>
      <c r="N131" s="43">
        <f t="shared" si="24"/>
        <v>515.11800000000005</v>
      </c>
      <c r="O131" s="41">
        <v>788.97799999999995</v>
      </c>
      <c r="P131" s="44">
        <v>6</v>
      </c>
      <c r="Q131" s="44">
        <v>0</v>
      </c>
      <c r="R131" s="45">
        <f t="shared" si="25"/>
        <v>6</v>
      </c>
      <c r="S131" s="46">
        <v>5098</v>
      </c>
    </row>
    <row r="132" spans="2:19" ht="15.75" x14ac:dyDescent="0.25">
      <c r="B132" s="72">
        <f t="shared" si="26"/>
        <v>16</v>
      </c>
      <c r="C132" s="38" t="s">
        <v>218</v>
      </c>
      <c r="D132" s="39" t="s">
        <v>219</v>
      </c>
      <c r="E132" s="40">
        <v>44561</v>
      </c>
      <c r="F132" s="41">
        <v>38715.85</v>
      </c>
      <c r="G132" s="42">
        <v>10</v>
      </c>
      <c r="H132" s="43">
        <f t="shared" si="23"/>
        <v>3871.585</v>
      </c>
      <c r="I132" s="41">
        <v>79605.255999999994</v>
      </c>
      <c r="J132" s="41">
        <v>839425.54</v>
      </c>
      <c r="K132" s="41">
        <f>46852.339+11125.687</f>
        <v>57978.025999999998</v>
      </c>
      <c r="L132" s="41">
        <v>0</v>
      </c>
      <c r="M132" s="41">
        <v>24761.637999999999</v>
      </c>
      <c r="N132" s="43">
        <f t="shared" si="24"/>
        <v>11033.965999999999</v>
      </c>
      <c r="O132" s="41">
        <v>13727.672</v>
      </c>
      <c r="P132" s="44">
        <f>12.5+17.5</f>
        <v>30</v>
      </c>
      <c r="Q132" s="44">
        <v>0</v>
      </c>
      <c r="R132" s="45">
        <f t="shared" si="25"/>
        <v>30</v>
      </c>
      <c r="S132" s="46">
        <v>6859</v>
      </c>
    </row>
    <row r="133" spans="2:19" ht="15.75" x14ac:dyDescent="0.25">
      <c r="B133" s="72">
        <f t="shared" si="26"/>
        <v>17</v>
      </c>
      <c r="C133" s="38" t="s">
        <v>220</v>
      </c>
      <c r="D133" s="39" t="s">
        <v>221</v>
      </c>
      <c r="E133" s="40">
        <v>44561</v>
      </c>
      <c r="F133" s="41"/>
      <c r="G133" s="42">
        <v>10</v>
      </c>
      <c r="H133" s="43">
        <f t="shared" si="23"/>
        <v>0</v>
      </c>
      <c r="I133" s="41"/>
      <c r="J133" s="41"/>
      <c r="K133" s="41"/>
      <c r="L133" s="41"/>
      <c r="M133" s="41"/>
      <c r="N133" s="43">
        <f t="shared" si="24"/>
        <v>0</v>
      </c>
      <c r="O133" s="41"/>
      <c r="P133" s="44"/>
      <c r="Q133" s="44"/>
      <c r="R133" s="45">
        <f t="shared" si="25"/>
        <v>0</v>
      </c>
      <c r="S133" s="46"/>
    </row>
    <row r="134" spans="2:19" ht="15.75" x14ac:dyDescent="0.25">
      <c r="B134" s="72">
        <f t="shared" si="26"/>
        <v>18</v>
      </c>
      <c r="C134" s="38" t="s">
        <v>222</v>
      </c>
      <c r="D134" s="39" t="s">
        <v>223</v>
      </c>
      <c r="E134" s="40">
        <v>44561</v>
      </c>
      <c r="F134" s="41">
        <v>26381.51</v>
      </c>
      <c r="G134" s="42">
        <v>10</v>
      </c>
      <c r="H134" s="43">
        <f>+F134/G134</f>
        <v>2638.1509999999998</v>
      </c>
      <c r="I134" s="41"/>
      <c r="J134" s="41"/>
      <c r="K134" s="41"/>
      <c r="L134" s="41"/>
      <c r="M134" s="41">
        <v>-4933.9799999999996</v>
      </c>
      <c r="N134" s="43">
        <f>+M134-O134</f>
        <v>-2047.0559999999996</v>
      </c>
      <c r="O134" s="41">
        <v>-2886.924</v>
      </c>
      <c r="P134" s="44">
        <v>0</v>
      </c>
      <c r="Q134" s="44">
        <v>0</v>
      </c>
      <c r="R134" s="45">
        <f>SUM(P134:Q134)</f>
        <v>0</v>
      </c>
      <c r="S134" s="46"/>
    </row>
    <row r="135" spans="2:19" ht="15.75" x14ac:dyDescent="0.25">
      <c r="B135" s="72">
        <f t="shared" si="26"/>
        <v>19</v>
      </c>
      <c r="C135" s="38" t="s">
        <v>224</v>
      </c>
      <c r="D135" s="39" t="s">
        <v>225</v>
      </c>
      <c r="E135" s="40">
        <v>44561</v>
      </c>
      <c r="F135" s="41">
        <v>11024.636</v>
      </c>
      <c r="G135" s="42">
        <v>10</v>
      </c>
      <c r="H135" s="43">
        <f t="shared" si="23"/>
        <v>1102.4636</v>
      </c>
      <c r="I135" s="41">
        <v>21635.541000000001</v>
      </c>
      <c r="J135" s="41">
        <v>579488.549</v>
      </c>
      <c r="K135" s="41">
        <f>37133.146+4290.235</f>
        <v>41423.381000000001</v>
      </c>
      <c r="L135" s="41">
        <v>0</v>
      </c>
      <c r="M135" s="41">
        <v>5149.2190000000001</v>
      </c>
      <c r="N135" s="43">
        <f t="shared" si="24"/>
        <v>2295.0720000000001</v>
      </c>
      <c r="O135" s="41">
        <v>2854.1469999999999</v>
      </c>
      <c r="P135" s="44">
        <v>15</v>
      </c>
      <c r="Q135" s="44">
        <v>0</v>
      </c>
      <c r="R135" s="45">
        <f t="shared" si="25"/>
        <v>15</v>
      </c>
      <c r="S135" s="46">
        <v>7751</v>
      </c>
    </row>
    <row r="136" spans="2:19" ht="15.75" x14ac:dyDescent="0.25">
      <c r="B136" s="72">
        <f t="shared" si="26"/>
        <v>20</v>
      </c>
      <c r="C136" s="38" t="s">
        <v>226</v>
      </c>
      <c r="D136" s="39" t="s">
        <v>227</v>
      </c>
      <c r="E136" s="40">
        <v>44561</v>
      </c>
      <c r="F136" s="41">
        <v>12241.797</v>
      </c>
      <c r="G136" s="42">
        <v>10</v>
      </c>
      <c r="H136" s="43">
        <f t="shared" si="23"/>
        <v>1224.1797000000001</v>
      </c>
      <c r="I136" s="41">
        <v>204642.54699999999</v>
      </c>
      <c r="J136" s="41">
        <v>2618165.9070000001</v>
      </c>
      <c r="K136" s="41">
        <f>147974.155+23379.048</f>
        <v>171353.20300000001</v>
      </c>
      <c r="L136" s="41">
        <v>0</v>
      </c>
      <c r="M136" s="41">
        <v>52127.152999999998</v>
      </c>
      <c r="N136" s="43">
        <f t="shared" si="24"/>
        <v>21245.03</v>
      </c>
      <c r="O136" s="41">
        <v>30882.123</v>
      </c>
      <c r="P136" s="44">
        <f>40+40+40+60</f>
        <v>180</v>
      </c>
      <c r="Q136" s="44">
        <v>0</v>
      </c>
      <c r="R136" s="45">
        <f t="shared" si="25"/>
        <v>180</v>
      </c>
      <c r="S136" s="46">
        <v>22047</v>
      </c>
    </row>
    <row r="137" spans="2:19" ht="15.75" x14ac:dyDescent="0.25">
      <c r="B137" s="75"/>
      <c r="C137" s="47"/>
      <c r="D137" s="48"/>
      <c r="E137" s="49"/>
      <c r="F137" s="50"/>
      <c r="G137" s="51"/>
      <c r="H137" s="52"/>
      <c r="I137" s="50"/>
      <c r="J137" s="50"/>
      <c r="K137" s="50"/>
      <c r="L137" s="50"/>
      <c r="M137" s="50"/>
      <c r="N137" s="52"/>
      <c r="O137" s="50"/>
      <c r="P137" s="53"/>
      <c r="Q137" s="53"/>
      <c r="R137" s="54"/>
      <c r="S137" s="55"/>
    </row>
    <row r="138" spans="2:19" ht="15.75" x14ac:dyDescent="0.25">
      <c r="B138" s="38">
        <f>COUNT(B117:B137)</f>
        <v>20</v>
      </c>
      <c r="C138" s="38"/>
      <c r="D138" s="60"/>
      <c r="E138" s="40"/>
      <c r="F138" s="60">
        <f>SUM(F117:F137)</f>
        <v>298907.978</v>
      </c>
      <c r="G138" s="61"/>
      <c r="H138" s="62">
        <f t="shared" ref="H138:O138" si="27">SUM(H117:H137)</f>
        <v>29890.797799999997</v>
      </c>
      <c r="I138" s="60">
        <f t="shared" si="27"/>
        <v>1458578.6329999999</v>
      </c>
      <c r="J138" s="60">
        <f t="shared" si="27"/>
        <v>23681786.846999995</v>
      </c>
      <c r="K138" s="60">
        <f t="shared" si="27"/>
        <v>1628487.0810000002</v>
      </c>
      <c r="L138" s="60">
        <f t="shared" si="27"/>
        <v>0</v>
      </c>
      <c r="M138" s="60">
        <f t="shared" si="27"/>
        <v>448051.87800000003</v>
      </c>
      <c r="N138" s="63">
        <f t="shared" si="27"/>
        <v>182714.78099999999</v>
      </c>
      <c r="O138" s="60">
        <f t="shared" si="27"/>
        <v>265337.09700000001</v>
      </c>
      <c r="P138" s="64"/>
      <c r="Q138" s="64"/>
      <c r="R138" s="65"/>
      <c r="S138" s="66">
        <f>SUM(S117:S137)</f>
        <v>337515</v>
      </c>
    </row>
    <row r="139" spans="2:19" ht="15.75" x14ac:dyDescent="0.25">
      <c r="B139" s="32"/>
      <c r="C139" s="32"/>
      <c r="D139" s="32"/>
      <c r="E139" s="33"/>
      <c r="F139" s="32"/>
      <c r="G139" s="51"/>
      <c r="H139" s="57"/>
      <c r="I139" s="35"/>
      <c r="J139" s="35"/>
      <c r="K139" s="35"/>
      <c r="L139" s="35"/>
      <c r="M139" s="35"/>
      <c r="N139" s="58"/>
      <c r="O139" s="35"/>
      <c r="P139" s="35"/>
      <c r="Q139" s="35"/>
      <c r="R139" s="58"/>
      <c r="S139" s="35"/>
    </row>
    <row r="140" spans="2:19" ht="15.75" x14ac:dyDescent="0.25">
      <c r="B140" s="32"/>
      <c r="C140" s="32"/>
      <c r="D140" s="32"/>
      <c r="E140" s="33"/>
      <c r="F140" s="32"/>
      <c r="G140" s="51"/>
      <c r="H140" s="57"/>
      <c r="I140" s="35"/>
      <c r="J140" s="35"/>
      <c r="K140" s="35"/>
      <c r="L140" s="35"/>
      <c r="M140" s="35"/>
      <c r="N140" s="58"/>
      <c r="O140" s="35"/>
      <c r="P140" s="35"/>
      <c r="Q140" s="35"/>
      <c r="R140" s="58"/>
      <c r="S140" s="35"/>
    </row>
    <row r="141" spans="2:19" ht="18.75" x14ac:dyDescent="0.3">
      <c r="B141" s="32"/>
      <c r="C141" s="37">
        <v>6</v>
      </c>
      <c r="D141" s="37" t="s">
        <v>228</v>
      </c>
      <c r="E141" s="73"/>
      <c r="F141" s="74"/>
      <c r="G141" s="51"/>
      <c r="H141" s="57"/>
      <c r="I141" s="35"/>
      <c r="J141" s="35"/>
      <c r="K141" s="35"/>
      <c r="L141" s="35"/>
      <c r="M141" s="35"/>
      <c r="N141" s="58"/>
      <c r="O141" s="35"/>
      <c r="P141" s="35"/>
      <c r="Q141" s="35"/>
      <c r="R141" s="58"/>
      <c r="S141" s="35"/>
    </row>
    <row r="142" spans="2:19" ht="15.75" x14ac:dyDescent="0.25">
      <c r="B142" s="32"/>
      <c r="C142" s="32"/>
      <c r="D142" s="32"/>
      <c r="E142" s="33"/>
      <c r="F142" s="32"/>
      <c r="G142" s="51"/>
      <c r="H142" s="57"/>
      <c r="I142" s="35"/>
      <c r="J142" s="35"/>
      <c r="K142" s="35"/>
      <c r="L142" s="35"/>
      <c r="M142" s="35"/>
      <c r="N142" s="58"/>
      <c r="O142" s="35"/>
      <c r="P142" s="35"/>
      <c r="Q142" s="35"/>
      <c r="R142" s="58"/>
      <c r="S142" s="35"/>
    </row>
    <row r="143" spans="2:19" ht="15.75" x14ac:dyDescent="0.25">
      <c r="B143" s="38">
        <v>1</v>
      </c>
      <c r="C143" s="38" t="s">
        <v>229</v>
      </c>
      <c r="D143" s="39" t="s">
        <v>230</v>
      </c>
      <c r="E143" s="40">
        <v>44561</v>
      </c>
      <c r="F143" s="41"/>
      <c r="G143" s="42">
        <v>10</v>
      </c>
      <c r="H143" s="43">
        <f t="shared" ref="H143:H164" si="28">+F143/G143</f>
        <v>0</v>
      </c>
      <c r="I143" s="41"/>
      <c r="J143" s="41"/>
      <c r="K143" s="41"/>
      <c r="L143" s="41"/>
      <c r="M143" s="41"/>
      <c r="N143" s="43">
        <f t="shared" ref="N143:N164" si="29">+M143-O143</f>
        <v>0</v>
      </c>
      <c r="O143" s="41"/>
      <c r="P143" s="44"/>
      <c r="Q143" s="44"/>
      <c r="R143" s="45">
        <f t="shared" ref="R143:R164" si="30">SUM(P143:Q143)</f>
        <v>0</v>
      </c>
      <c r="S143" s="46"/>
    </row>
    <row r="144" spans="2:19" ht="15.75" x14ac:dyDescent="0.25">
      <c r="B144" s="38">
        <f>+B143+1</f>
        <v>2</v>
      </c>
      <c r="C144" s="38" t="s">
        <v>231</v>
      </c>
      <c r="D144" s="39" t="s">
        <v>232</v>
      </c>
      <c r="E144" s="40">
        <v>44561</v>
      </c>
      <c r="F144" s="41">
        <v>3500</v>
      </c>
      <c r="G144" s="42">
        <v>10</v>
      </c>
      <c r="H144" s="43">
        <f t="shared" si="28"/>
        <v>350</v>
      </c>
      <c r="I144" s="41"/>
      <c r="J144" s="41"/>
      <c r="K144" s="41"/>
      <c r="L144" s="41"/>
      <c r="M144" s="41">
        <v>4405.3609999999999</v>
      </c>
      <c r="N144" s="43">
        <f t="shared" si="29"/>
        <v>1268.8669999999997</v>
      </c>
      <c r="O144" s="41">
        <v>3136.4940000000001</v>
      </c>
      <c r="P144" s="44">
        <f>15+15</f>
        <v>30</v>
      </c>
      <c r="Q144" s="44">
        <v>0</v>
      </c>
      <c r="R144" s="45">
        <f t="shared" si="30"/>
        <v>30</v>
      </c>
      <c r="S144" s="46"/>
    </row>
    <row r="145" spans="2:19" ht="15.75" x14ac:dyDescent="0.25">
      <c r="B145" s="38">
        <f t="shared" ref="B145:B164" si="31">+B144+1</f>
        <v>3</v>
      </c>
      <c r="C145" s="72" t="s">
        <v>233</v>
      </c>
      <c r="D145" s="39" t="s">
        <v>234</v>
      </c>
      <c r="E145" s="40">
        <v>44561</v>
      </c>
      <c r="F145" s="41"/>
      <c r="G145" s="42">
        <v>10</v>
      </c>
      <c r="H145" s="43">
        <f t="shared" si="28"/>
        <v>0</v>
      </c>
      <c r="I145" s="41"/>
      <c r="J145" s="41"/>
      <c r="K145" s="41"/>
      <c r="L145" s="41"/>
      <c r="M145" s="41"/>
      <c r="N145" s="43">
        <f t="shared" si="29"/>
        <v>0</v>
      </c>
      <c r="O145" s="41"/>
      <c r="P145" s="44"/>
      <c r="Q145" s="44"/>
      <c r="R145" s="45">
        <f t="shared" si="30"/>
        <v>0</v>
      </c>
      <c r="S145" s="46"/>
    </row>
    <row r="146" spans="2:19" ht="15.75" x14ac:dyDescent="0.25">
      <c r="B146" s="38">
        <f t="shared" si="31"/>
        <v>4</v>
      </c>
      <c r="C146" s="38" t="s">
        <v>235</v>
      </c>
      <c r="D146" s="39" t="s">
        <v>236</v>
      </c>
      <c r="E146" s="40">
        <v>44561</v>
      </c>
      <c r="F146" s="41"/>
      <c r="G146" s="42">
        <v>10</v>
      </c>
      <c r="H146" s="43">
        <f t="shared" si="28"/>
        <v>0</v>
      </c>
      <c r="I146" s="41"/>
      <c r="J146" s="41"/>
      <c r="K146" s="41"/>
      <c r="L146" s="41"/>
      <c r="M146" s="41"/>
      <c r="N146" s="43">
        <f t="shared" si="29"/>
        <v>0</v>
      </c>
      <c r="O146" s="41"/>
      <c r="P146" s="44"/>
      <c r="Q146" s="44"/>
      <c r="R146" s="45">
        <f t="shared" si="30"/>
        <v>0</v>
      </c>
      <c r="S146" s="46"/>
    </row>
    <row r="147" spans="2:19" ht="15.75" x14ac:dyDescent="0.25">
      <c r="B147" s="38">
        <f t="shared" si="31"/>
        <v>5</v>
      </c>
      <c r="C147" s="38" t="s">
        <v>237</v>
      </c>
      <c r="D147" s="39" t="s">
        <v>238</v>
      </c>
      <c r="E147" s="40">
        <v>44561</v>
      </c>
      <c r="F147" s="41">
        <v>848.952</v>
      </c>
      <c r="G147" s="42">
        <v>10</v>
      </c>
      <c r="H147" s="43">
        <f t="shared" si="28"/>
        <v>84.895200000000003</v>
      </c>
      <c r="I147" s="41"/>
      <c r="J147" s="41"/>
      <c r="K147" s="41"/>
      <c r="L147" s="41"/>
      <c r="M147" s="41">
        <v>1181.508</v>
      </c>
      <c r="N147" s="43">
        <f t="shared" si="29"/>
        <v>346.13200000000006</v>
      </c>
      <c r="O147" s="41">
        <v>835.37599999999998</v>
      </c>
      <c r="P147" s="44">
        <f>25+45</f>
        <v>70</v>
      </c>
      <c r="Q147" s="44">
        <v>10</v>
      </c>
      <c r="R147" s="45">
        <f t="shared" si="30"/>
        <v>80</v>
      </c>
      <c r="S147" s="46"/>
    </row>
    <row r="148" spans="2:19" ht="15.75" x14ac:dyDescent="0.25">
      <c r="B148" s="38">
        <f t="shared" si="31"/>
        <v>6</v>
      </c>
      <c r="C148" s="38" t="s">
        <v>239</v>
      </c>
      <c r="D148" s="39" t="s">
        <v>240</v>
      </c>
      <c r="E148" s="40">
        <v>44561</v>
      </c>
      <c r="F148" s="41">
        <v>502.97</v>
      </c>
      <c r="G148" s="42">
        <v>10</v>
      </c>
      <c r="H148" s="43">
        <f t="shared" si="28"/>
        <v>50.297000000000004</v>
      </c>
      <c r="I148" s="41"/>
      <c r="J148" s="41"/>
      <c r="K148" s="41"/>
      <c r="L148" s="41"/>
      <c r="M148" s="41">
        <v>389.62799999999999</v>
      </c>
      <c r="N148" s="43">
        <f t="shared" si="29"/>
        <v>112.10300000000001</v>
      </c>
      <c r="O148" s="41">
        <v>277.52499999999998</v>
      </c>
      <c r="P148" s="44">
        <v>22.5</v>
      </c>
      <c r="Q148" s="44">
        <v>10</v>
      </c>
      <c r="R148" s="45">
        <f t="shared" si="30"/>
        <v>32.5</v>
      </c>
      <c r="S148" s="46"/>
    </row>
    <row r="149" spans="2:19" ht="15.75" x14ac:dyDescent="0.25">
      <c r="B149" s="38">
        <f t="shared" si="31"/>
        <v>7</v>
      </c>
      <c r="C149" s="38" t="s">
        <v>241</v>
      </c>
      <c r="D149" s="39" t="s">
        <v>242</v>
      </c>
      <c r="E149" s="40">
        <v>44561</v>
      </c>
      <c r="F149" s="41"/>
      <c r="G149" s="42">
        <v>10</v>
      </c>
      <c r="H149" s="43">
        <f t="shared" si="28"/>
        <v>0</v>
      </c>
      <c r="I149" s="41"/>
      <c r="J149" s="41"/>
      <c r="K149" s="41"/>
      <c r="L149" s="41"/>
      <c r="M149" s="41"/>
      <c r="N149" s="43">
        <f t="shared" si="29"/>
        <v>0</v>
      </c>
      <c r="O149" s="41"/>
      <c r="P149" s="44"/>
      <c r="Q149" s="44"/>
      <c r="R149" s="45">
        <f t="shared" si="30"/>
        <v>0</v>
      </c>
      <c r="S149" s="46"/>
    </row>
    <row r="150" spans="2:19" ht="15.75" x14ac:dyDescent="0.25">
      <c r="B150" s="38">
        <f t="shared" si="31"/>
        <v>8</v>
      </c>
      <c r="C150" s="38" t="s">
        <v>243</v>
      </c>
      <c r="D150" s="39" t="s">
        <v>244</v>
      </c>
      <c r="E150" s="40">
        <v>44561</v>
      </c>
      <c r="F150" s="41">
        <v>2000</v>
      </c>
      <c r="G150" s="42">
        <v>10</v>
      </c>
      <c r="H150" s="43">
        <f t="shared" si="28"/>
        <v>200</v>
      </c>
      <c r="I150" s="41">
        <f>19273.812+1076.919</f>
        <v>20350.731000000003</v>
      </c>
      <c r="J150" s="41">
        <v>47000.332000000002</v>
      </c>
      <c r="K150" s="41">
        <f>9806.853+1930.219+122.193+154.361+78.421</f>
        <v>12092.047</v>
      </c>
      <c r="L150" s="41">
        <v>0</v>
      </c>
      <c r="M150" s="41">
        <v>3952.2280000000001</v>
      </c>
      <c r="N150" s="43">
        <f t="shared" si="29"/>
        <v>1150.6489999999999</v>
      </c>
      <c r="O150" s="41">
        <v>2801.5790000000002</v>
      </c>
      <c r="P150" s="44">
        <f>15+15+15+55</f>
        <v>100</v>
      </c>
      <c r="Q150" s="44">
        <v>0</v>
      </c>
      <c r="R150" s="45">
        <f t="shared" si="30"/>
        <v>100</v>
      </c>
      <c r="S150" s="46">
        <v>1491</v>
      </c>
    </row>
    <row r="151" spans="2:19" ht="15.75" x14ac:dyDescent="0.25">
      <c r="B151" s="38">
        <f t="shared" si="31"/>
        <v>9</v>
      </c>
      <c r="C151" s="72" t="s">
        <v>245</v>
      </c>
      <c r="D151" s="39" t="s">
        <v>246</v>
      </c>
      <c r="E151" s="40">
        <v>44561</v>
      </c>
      <c r="F151" s="41">
        <v>1000</v>
      </c>
      <c r="G151" s="42">
        <v>10</v>
      </c>
      <c r="H151" s="43">
        <f t="shared" si="28"/>
        <v>100</v>
      </c>
      <c r="I151" s="41">
        <v>6178.3789999999999</v>
      </c>
      <c r="J151" s="41">
        <v>163179.95499999999</v>
      </c>
      <c r="K151" s="41">
        <v>43829.39</v>
      </c>
      <c r="L151" s="41">
        <v>0</v>
      </c>
      <c r="M151" s="41">
        <v>2141.6680000000001</v>
      </c>
      <c r="N151" s="43">
        <f t="shared" si="29"/>
        <v>633.47100000000023</v>
      </c>
      <c r="O151" s="41">
        <v>1508.1969999999999</v>
      </c>
      <c r="P151" s="44">
        <f>15+15+15+105</f>
        <v>150</v>
      </c>
      <c r="Q151" s="44">
        <v>0</v>
      </c>
      <c r="R151" s="45">
        <f t="shared" si="30"/>
        <v>150</v>
      </c>
      <c r="S151" s="46">
        <v>974</v>
      </c>
    </row>
    <row r="152" spans="2:19" ht="15.75" x14ac:dyDescent="0.25">
      <c r="B152" s="38">
        <f t="shared" si="31"/>
        <v>10</v>
      </c>
      <c r="C152" s="38" t="s">
        <v>247</v>
      </c>
      <c r="D152" s="39" t="s">
        <v>248</v>
      </c>
      <c r="E152" s="40">
        <v>44561</v>
      </c>
      <c r="F152" s="41">
        <v>1183.3579999999999</v>
      </c>
      <c r="G152" s="42">
        <v>10</v>
      </c>
      <c r="H152" s="43">
        <f t="shared" si="28"/>
        <v>118.33579999999999</v>
      </c>
      <c r="I152" s="41"/>
      <c r="J152" s="41"/>
      <c r="K152" s="41"/>
      <c r="L152" s="41"/>
      <c r="M152" s="41"/>
      <c r="N152" s="43">
        <f t="shared" si="29"/>
        <v>0</v>
      </c>
      <c r="O152" s="41"/>
      <c r="P152" s="44"/>
      <c r="Q152" s="44">
        <f>15</f>
        <v>15</v>
      </c>
      <c r="R152" s="45">
        <f t="shared" si="30"/>
        <v>15</v>
      </c>
      <c r="S152" s="46"/>
    </row>
    <row r="153" spans="2:19" ht="15.75" x14ac:dyDescent="0.25">
      <c r="B153" s="38">
        <f t="shared" si="31"/>
        <v>11</v>
      </c>
      <c r="C153" s="38" t="s">
        <v>249</v>
      </c>
      <c r="D153" s="39" t="s">
        <v>250</v>
      </c>
      <c r="E153" s="40">
        <v>44561</v>
      </c>
      <c r="F153" s="41"/>
      <c r="G153" s="42">
        <v>5</v>
      </c>
      <c r="H153" s="43">
        <f t="shared" si="28"/>
        <v>0</v>
      </c>
      <c r="I153" s="41"/>
      <c r="J153" s="41"/>
      <c r="K153" s="41"/>
      <c r="L153" s="41"/>
      <c r="M153" s="41"/>
      <c r="N153" s="43">
        <f t="shared" si="29"/>
        <v>0</v>
      </c>
      <c r="O153" s="41"/>
      <c r="P153" s="44"/>
      <c r="Q153" s="44"/>
      <c r="R153" s="45">
        <f t="shared" si="30"/>
        <v>0</v>
      </c>
      <c r="S153" s="46"/>
    </row>
    <row r="154" spans="2:19" ht="15.75" x14ac:dyDescent="0.25">
      <c r="B154" s="38">
        <f t="shared" si="31"/>
        <v>12</v>
      </c>
      <c r="C154" s="38" t="s">
        <v>251</v>
      </c>
      <c r="D154" s="39" t="s">
        <v>252</v>
      </c>
      <c r="E154" s="40">
        <v>44561</v>
      </c>
      <c r="F154" s="41">
        <v>1426.3050000000001</v>
      </c>
      <c r="G154" s="42">
        <v>10</v>
      </c>
      <c r="H154" s="43">
        <f t="shared" si="28"/>
        <v>142.63050000000001</v>
      </c>
      <c r="I154" s="41"/>
      <c r="J154" s="41"/>
      <c r="K154" s="41"/>
      <c r="L154" s="41"/>
      <c r="M154" s="41"/>
      <c r="N154" s="43">
        <f t="shared" si="29"/>
        <v>0</v>
      </c>
      <c r="O154" s="41"/>
      <c r="P154" s="44">
        <f>20</f>
        <v>20</v>
      </c>
      <c r="Q154" s="44"/>
      <c r="R154" s="45">
        <f t="shared" si="30"/>
        <v>20</v>
      </c>
      <c r="S154" s="46"/>
    </row>
    <row r="155" spans="2:19" ht="15.75" x14ac:dyDescent="0.25">
      <c r="B155" s="38">
        <f t="shared" si="31"/>
        <v>13</v>
      </c>
      <c r="C155" s="38" t="s">
        <v>253</v>
      </c>
      <c r="D155" s="39" t="s">
        <v>254</v>
      </c>
      <c r="E155" s="40">
        <v>44561</v>
      </c>
      <c r="F155" s="41"/>
      <c r="G155" s="42">
        <v>10</v>
      </c>
      <c r="H155" s="43">
        <f t="shared" si="28"/>
        <v>0</v>
      </c>
      <c r="I155" s="41"/>
      <c r="J155" s="41"/>
      <c r="K155" s="41"/>
      <c r="L155" s="41"/>
      <c r="M155" s="41"/>
      <c r="N155" s="43">
        <f t="shared" si="29"/>
        <v>0</v>
      </c>
      <c r="O155" s="41"/>
      <c r="P155" s="44"/>
      <c r="Q155" s="44"/>
      <c r="R155" s="45">
        <f t="shared" si="30"/>
        <v>0</v>
      </c>
      <c r="S155" s="46"/>
    </row>
    <row r="156" spans="2:19" ht="15.75" x14ac:dyDescent="0.25">
      <c r="B156" s="38">
        <f t="shared" si="31"/>
        <v>14</v>
      </c>
      <c r="C156" s="38" t="s">
        <v>255</v>
      </c>
      <c r="D156" s="39" t="s">
        <v>256</v>
      </c>
      <c r="E156" s="40">
        <v>44561</v>
      </c>
      <c r="F156" s="41">
        <v>1984.912</v>
      </c>
      <c r="G156" s="42">
        <v>10</v>
      </c>
      <c r="H156" s="43">
        <f t="shared" si="28"/>
        <v>198.49119999999999</v>
      </c>
      <c r="I156" s="41">
        <v>10189.700000000001</v>
      </c>
      <c r="J156" s="41">
        <v>26194.004000000001</v>
      </c>
      <c r="K156" s="41">
        <f>5197.05+1385.277+82.161+112.808</f>
        <v>6777.2960000000003</v>
      </c>
      <c r="L156" s="41">
        <v>0</v>
      </c>
      <c r="M156" s="41">
        <v>2329.9949999999999</v>
      </c>
      <c r="N156" s="43">
        <f t="shared" si="29"/>
        <v>680.66799999999989</v>
      </c>
      <c r="O156" s="41">
        <v>1649.327</v>
      </c>
      <c r="P156" s="44">
        <v>40</v>
      </c>
      <c r="Q156" s="44">
        <v>0</v>
      </c>
      <c r="R156" s="45">
        <f t="shared" si="30"/>
        <v>40</v>
      </c>
      <c r="S156" s="46">
        <v>1446</v>
      </c>
    </row>
    <row r="157" spans="2:19" ht="15.75" x14ac:dyDescent="0.25">
      <c r="B157" s="38">
        <f t="shared" si="31"/>
        <v>15</v>
      </c>
      <c r="C157" s="72" t="s">
        <v>257</v>
      </c>
      <c r="D157" s="39" t="s">
        <v>258</v>
      </c>
      <c r="E157" s="40">
        <v>44561</v>
      </c>
      <c r="F157" s="41">
        <v>872.63699999999994</v>
      </c>
      <c r="G157" s="42">
        <v>10</v>
      </c>
      <c r="H157" s="43">
        <f t="shared" si="28"/>
        <v>87.2637</v>
      </c>
      <c r="I157" s="41"/>
      <c r="J157" s="41"/>
      <c r="K157" s="41"/>
      <c r="L157" s="41"/>
      <c r="M157" s="41">
        <v>2540.2399999999998</v>
      </c>
      <c r="N157" s="43">
        <f t="shared" si="29"/>
        <v>747.12999999999988</v>
      </c>
      <c r="O157" s="41">
        <v>1793.11</v>
      </c>
      <c r="P157" s="44">
        <f>30+115</f>
        <v>145</v>
      </c>
      <c r="Q157" s="44">
        <v>0</v>
      </c>
      <c r="R157" s="45">
        <f t="shared" si="30"/>
        <v>145</v>
      </c>
      <c r="S157" s="46"/>
    </row>
    <row r="158" spans="2:19" ht="15.75" x14ac:dyDescent="0.25">
      <c r="B158" s="38">
        <f t="shared" si="31"/>
        <v>16</v>
      </c>
      <c r="C158" s="38" t="s">
        <v>259</v>
      </c>
      <c r="D158" s="39" t="s">
        <v>260</v>
      </c>
      <c r="E158" s="40">
        <v>44561</v>
      </c>
      <c r="F158" s="41"/>
      <c r="G158" s="42">
        <v>10</v>
      </c>
      <c r="H158" s="43">
        <f t="shared" si="28"/>
        <v>0</v>
      </c>
      <c r="I158" s="41"/>
      <c r="J158" s="41"/>
      <c r="K158" s="41"/>
      <c r="L158" s="41"/>
      <c r="M158" s="41"/>
      <c r="N158" s="43">
        <f t="shared" si="29"/>
        <v>0</v>
      </c>
      <c r="O158" s="41"/>
      <c r="P158" s="44"/>
      <c r="Q158" s="44"/>
      <c r="R158" s="45">
        <f t="shared" si="30"/>
        <v>0</v>
      </c>
      <c r="S158" s="46"/>
    </row>
    <row r="159" spans="2:19" ht="15.75" x14ac:dyDescent="0.25">
      <c r="B159" s="38">
        <f t="shared" si="31"/>
        <v>17</v>
      </c>
      <c r="C159" s="38" t="s">
        <v>261</v>
      </c>
      <c r="D159" s="39" t="s">
        <v>262</v>
      </c>
      <c r="E159" s="40">
        <v>44561</v>
      </c>
      <c r="F159" s="41"/>
      <c r="G159" s="42">
        <v>10</v>
      </c>
      <c r="H159" s="43">
        <f t="shared" si="28"/>
        <v>0</v>
      </c>
      <c r="I159" s="41"/>
      <c r="J159" s="41"/>
      <c r="K159" s="41"/>
      <c r="L159" s="41"/>
      <c r="M159" s="41"/>
      <c r="N159" s="43">
        <f t="shared" si="29"/>
        <v>0</v>
      </c>
      <c r="O159" s="41"/>
      <c r="P159" s="44"/>
      <c r="Q159" s="44"/>
      <c r="R159" s="45">
        <f t="shared" si="30"/>
        <v>0</v>
      </c>
      <c r="S159" s="46"/>
    </row>
    <row r="160" spans="2:19" ht="15.75" x14ac:dyDescent="0.25">
      <c r="B160" s="38">
        <f t="shared" si="31"/>
        <v>18</v>
      </c>
      <c r="C160" s="38" t="s">
        <v>263</v>
      </c>
      <c r="D160" s="39" t="s">
        <v>264</v>
      </c>
      <c r="E160" s="40">
        <v>44561</v>
      </c>
      <c r="F160" s="41"/>
      <c r="G160" s="42">
        <v>10</v>
      </c>
      <c r="H160" s="43">
        <f t="shared" si="28"/>
        <v>0</v>
      </c>
      <c r="I160" s="41"/>
      <c r="J160" s="41"/>
      <c r="K160" s="41"/>
      <c r="L160" s="41"/>
      <c r="M160" s="41"/>
      <c r="N160" s="43">
        <f t="shared" si="29"/>
        <v>0</v>
      </c>
      <c r="O160" s="41"/>
      <c r="P160" s="44"/>
      <c r="Q160" s="44"/>
      <c r="R160" s="45">
        <f t="shared" si="30"/>
        <v>0</v>
      </c>
      <c r="S160" s="46"/>
    </row>
    <row r="161" spans="2:19" ht="15.75" x14ac:dyDescent="0.25">
      <c r="B161" s="38">
        <f t="shared" si="31"/>
        <v>19</v>
      </c>
      <c r="C161" s="38" t="s">
        <v>265</v>
      </c>
      <c r="D161" s="39" t="s">
        <v>266</v>
      </c>
      <c r="E161" s="40">
        <v>44561</v>
      </c>
      <c r="F161" s="41"/>
      <c r="G161" s="42">
        <v>10</v>
      </c>
      <c r="H161" s="43">
        <f t="shared" si="28"/>
        <v>0</v>
      </c>
      <c r="I161" s="41"/>
      <c r="J161" s="41"/>
      <c r="K161" s="41"/>
      <c r="L161" s="41"/>
      <c r="M161" s="41"/>
      <c r="N161" s="43">
        <f t="shared" si="29"/>
        <v>0</v>
      </c>
      <c r="O161" s="41"/>
      <c r="P161" s="44"/>
      <c r="Q161" s="44"/>
      <c r="R161" s="45">
        <f t="shared" si="30"/>
        <v>0</v>
      </c>
      <c r="S161" s="46"/>
    </row>
    <row r="162" spans="2:19" ht="15.75" x14ac:dyDescent="0.25">
      <c r="B162" s="38">
        <f t="shared" si="31"/>
        <v>20</v>
      </c>
      <c r="C162" s="38" t="s">
        <v>267</v>
      </c>
      <c r="D162" s="39" t="s">
        <v>268</v>
      </c>
      <c r="E162" s="40">
        <v>44561</v>
      </c>
      <c r="F162" s="41">
        <v>1171.9100000000001</v>
      </c>
      <c r="G162" s="42">
        <v>10</v>
      </c>
      <c r="H162" s="43">
        <f t="shared" si="28"/>
        <v>117.191</v>
      </c>
      <c r="I162" s="41"/>
      <c r="J162" s="41"/>
      <c r="K162" s="41"/>
      <c r="L162" s="41"/>
      <c r="M162" s="41">
        <v>-5.2240000000000002</v>
      </c>
      <c r="N162" s="43">
        <f t="shared" si="29"/>
        <v>4.4629999999999992</v>
      </c>
      <c r="O162" s="41">
        <v>-9.6869999999999994</v>
      </c>
      <c r="P162" s="44">
        <v>0</v>
      </c>
      <c r="Q162" s="44">
        <v>0</v>
      </c>
      <c r="R162" s="45">
        <f t="shared" si="30"/>
        <v>0</v>
      </c>
      <c r="S162" s="46"/>
    </row>
    <row r="163" spans="2:19" ht="15.75" x14ac:dyDescent="0.25">
      <c r="B163" s="38">
        <f t="shared" si="31"/>
        <v>21</v>
      </c>
      <c r="C163" s="38" t="s">
        <v>269</v>
      </c>
      <c r="D163" s="39" t="s">
        <v>270</v>
      </c>
      <c r="E163" s="40">
        <v>44561</v>
      </c>
      <c r="F163" s="41">
        <v>2950</v>
      </c>
      <c r="G163" s="42">
        <v>10</v>
      </c>
      <c r="H163" s="43">
        <f t="shared" si="28"/>
        <v>295</v>
      </c>
      <c r="I163" s="41"/>
      <c r="J163" s="41"/>
      <c r="K163" s="41"/>
      <c r="L163" s="41"/>
      <c r="M163" s="41"/>
      <c r="N163" s="43">
        <f t="shared" si="29"/>
        <v>0</v>
      </c>
      <c r="O163" s="41"/>
      <c r="P163" s="44">
        <f>10</f>
        <v>10</v>
      </c>
      <c r="Q163" s="44"/>
      <c r="R163" s="45">
        <f t="shared" si="30"/>
        <v>10</v>
      </c>
      <c r="S163" s="46"/>
    </row>
    <row r="164" spans="2:19" ht="15.75" x14ac:dyDescent="0.25">
      <c r="B164" s="38">
        <f t="shared" si="31"/>
        <v>22</v>
      </c>
      <c r="C164" s="38" t="s">
        <v>271</v>
      </c>
      <c r="D164" s="39" t="s">
        <v>272</v>
      </c>
      <c r="E164" s="40">
        <v>44561</v>
      </c>
      <c r="F164" s="41"/>
      <c r="G164" s="42">
        <v>10</v>
      </c>
      <c r="H164" s="43">
        <f t="shared" si="28"/>
        <v>0</v>
      </c>
      <c r="I164" s="41"/>
      <c r="J164" s="41"/>
      <c r="K164" s="41"/>
      <c r="L164" s="41"/>
      <c r="M164" s="41"/>
      <c r="N164" s="43">
        <f t="shared" si="29"/>
        <v>0</v>
      </c>
      <c r="O164" s="41"/>
      <c r="P164" s="44"/>
      <c r="Q164" s="44"/>
      <c r="R164" s="45">
        <f t="shared" si="30"/>
        <v>0</v>
      </c>
      <c r="S164" s="46"/>
    </row>
    <row r="165" spans="2:19" ht="15.75" x14ac:dyDescent="0.25">
      <c r="B165" s="32"/>
      <c r="C165" s="32"/>
      <c r="D165" s="32"/>
      <c r="E165" s="33"/>
      <c r="F165" s="32"/>
      <c r="G165" s="51"/>
      <c r="H165" s="57"/>
      <c r="I165" s="35"/>
      <c r="J165" s="35"/>
      <c r="K165" s="35"/>
      <c r="L165" s="35"/>
      <c r="M165" s="35"/>
      <c r="N165" s="58"/>
      <c r="O165" s="35"/>
      <c r="P165" s="35"/>
      <c r="Q165" s="35"/>
      <c r="R165" s="58"/>
      <c r="S165" s="35"/>
    </row>
    <row r="166" spans="2:19" ht="18.75" x14ac:dyDescent="0.3">
      <c r="B166" s="32"/>
      <c r="C166" s="32"/>
      <c r="D166" s="68" t="s">
        <v>41</v>
      </c>
      <c r="E166" s="33"/>
      <c r="F166" s="32"/>
      <c r="G166" s="51"/>
      <c r="H166" s="57"/>
      <c r="I166" s="35"/>
      <c r="J166" s="35"/>
      <c r="K166" s="35"/>
      <c r="L166" s="35"/>
      <c r="M166" s="35"/>
      <c r="N166" s="58"/>
      <c r="O166" s="35"/>
      <c r="P166" s="35"/>
      <c r="Q166" s="35"/>
      <c r="R166" s="58"/>
      <c r="S166" s="35"/>
    </row>
    <row r="167" spans="2:19" ht="15.75" x14ac:dyDescent="0.25">
      <c r="B167" s="38">
        <v>1</v>
      </c>
      <c r="C167" s="38" t="s">
        <v>273</v>
      </c>
      <c r="D167" s="39" t="s">
        <v>274</v>
      </c>
      <c r="E167" s="40">
        <v>44561</v>
      </c>
      <c r="F167" s="41"/>
      <c r="G167" s="42">
        <v>10</v>
      </c>
      <c r="H167" s="43">
        <f t="shared" ref="H167:H172" si="32">+F167/G167</f>
        <v>0</v>
      </c>
      <c r="I167" s="41"/>
      <c r="J167" s="41"/>
      <c r="K167" s="41"/>
      <c r="L167" s="41"/>
      <c r="M167" s="41"/>
      <c r="N167" s="43">
        <f t="shared" ref="N167:N172" si="33">+M167-O167</f>
        <v>0</v>
      </c>
      <c r="O167" s="41"/>
      <c r="P167" s="44"/>
      <c r="Q167" s="44"/>
      <c r="R167" s="45">
        <f t="shared" ref="R167:R172" si="34">SUM(P167:Q167)</f>
        <v>0</v>
      </c>
      <c r="S167" s="46"/>
    </row>
    <row r="168" spans="2:19" ht="15.75" x14ac:dyDescent="0.25">
      <c r="B168" s="38">
        <f>+B167+1</f>
        <v>2</v>
      </c>
      <c r="C168" s="38" t="s">
        <v>275</v>
      </c>
      <c r="D168" s="39" t="s">
        <v>276</v>
      </c>
      <c r="E168" s="40">
        <v>44561</v>
      </c>
      <c r="F168" s="41"/>
      <c r="G168" s="42">
        <v>10</v>
      </c>
      <c r="H168" s="43">
        <f t="shared" si="32"/>
        <v>0</v>
      </c>
      <c r="I168" s="41"/>
      <c r="J168" s="41"/>
      <c r="K168" s="41"/>
      <c r="L168" s="41"/>
      <c r="M168" s="41"/>
      <c r="N168" s="43">
        <f t="shared" si="33"/>
        <v>0</v>
      </c>
      <c r="O168" s="41"/>
      <c r="P168" s="44"/>
      <c r="Q168" s="44"/>
      <c r="R168" s="45">
        <f t="shared" si="34"/>
        <v>0</v>
      </c>
      <c r="S168" s="46"/>
    </row>
    <row r="169" spans="2:19" ht="15.75" x14ac:dyDescent="0.25">
      <c r="B169" s="38">
        <f t="shared" ref="B169:B172" si="35">+B168+1</f>
        <v>3</v>
      </c>
      <c r="C169" s="38" t="s">
        <v>277</v>
      </c>
      <c r="D169" s="39" t="s">
        <v>278</v>
      </c>
      <c r="E169" s="40">
        <v>44561</v>
      </c>
      <c r="F169" s="41"/>
      <c r="G169" s="42">
        <v>10</v>
      </c>
      <c r="H169" s="43">
        <f t="shared" si="32"/>
        <v>0</v>
      </c>
      <c r="I169" s="41"/>
      <c r="J169" s="41"/>
      <c r="K169" s="41"/>
      <c r="L169" s="41"/>
      <c r="M169" s="41"/>
      <c r="N169" s="43">
        <f t="shared" si="33"/>
        <v>0</v>
      </c>
      <c r="O169" s="41"/>
      <c r="P169" s="44"/>
      <c r="Q169" s="44"/>
      <c r="R169" s="45">
        <f t="shared" si="34"/>
        <v>0</v>
      </c>
      <c r="S169" s="46"/>
    </row>
    <row r="170" spans="2:19" ht="15.75" x14ac:dyDescent="0.25">
      <c r="B170" s="38">
        <f t="shared" si="35"/>
        <v>4</v>
      </c>
      <c r="C170" s="38" t="s">
        <v>279</v>
      </c>
      <c r="D170" s="39" t="s">
        <v>280</v>
      </c>
      <c r="E170" s="40">
        <v>44561</v>
      </c>
      <c r="F170" s="41"/>
      <c r="G170" s="42">
        <v>10</v>
      </c>
      <c r="H170" s="43">
        <f t="shared" si="32"/>
        <v>0</v>
      </c>
      <c r="I170" s="41"/>
      <c r="J170" s="41"/>
      <c r="K170" s="41"/>
      <c r="L170" s="41"/>
      <c r="M170" s="41"/>
      <c r="N170" s="43">
        <f t="shared" si="33"/>
        <v>0</v>
      </c>
      <c r="O170" s="41"/>
      <c r="P170" s="44"/>
      <c r="Q170" s="44"/>
      <c r="R170" s="45">
        <f t="shared" si="34"/>
        <v>0</v>
      </c>
      <c r="S170" s="46"/>
    </row>
    <row r="171" spans="2:19" ht="15.75" x14ac:dyDescent="0.25">
      <c r="B171" s="38">
        <f t="shared" si="35"/>
        <v>5</v>
      </c>
      <c r="C171" s="38" t="s">
        <v>281</v>
      </c>
      <c r="D171" s="39" t="s">
        <v>282</v>
      </c>
      <c r="E171" s="40">
        <v>44561</v>
      </c>
      <c r="F171" s="41"/>
      <c r="G171" s="42">
        <v>10</v>
      </c>
      <c r="H171" s="43">
        <f t="shared" si="32"/>
        <v>0</v>
      </c>
      <c r="I171" s="41"/>
      <c r="J171" s="41"/>
      <c r="K171" s="41"/>
      <c r="L171" s="41"/>
      <c r="M171" s="41"/>
      <c r="N171" s="43">
        <f t="shared" si="33"/>
        <v>0</v>
      </c>
      <c r="O171" s="41"/>
      <c r="P171" s="44"/>
      <c r="Q171" s="44"/>
      <c r="R171" s="45">
        <f t="shared" si="34"/>
        <v>0</v>
      </c>
      <c r="S171" s="46"/>
    </row>
    <row r="172" spans="2:19" ht="15.75" x14ac:dyDescent="0.25">
      <c r="B172" s="38">
        <f t="shared" si="35"/>
        <v>6</v>
      </c>
      <c r="C172" s="38" t="s">
        <v>283</v>
      </c>
      <c r="D172" s="39" t="s">
        <v>284</v>
      </c>
      <c r="E172" s="40">
        <v>44561</v>
      </c>
      <c r="F172" s="41"/>
      <c r="G172" s="42">
        <v>10</v>
      </c>
      <c r="H172" s="43">
        <f t="shared" si="32"/>
        <v>0</v>
      </c>
      <c r="I172" s="41"/>
      <c r="J172" s="41"/>
      <c r="K172" s="41"/>
      <c r="L172" s="41"/>
      <c r="M172" s="41"/>
      <c r="N172" s="43">
        <f t="shared" si="33"/>
        <v>0</v>
      </c>
      <c r="O172" s="41"/>
      <c r="P172" s="44"/>
      <c r="Q172" s="44"/>
      <c r="R172" s="45">
        <f t="shared" si="34"/>
        <v>0</v>
      </c>
      <c r="S172" s="46"/>
    </row>
    <row r="173" spans="2:19" ht="15.75" x14ac:dyDescent="0.25">
      <c r="B173" s="32"/>
      <c r="C173" s="32"/>
      <c r="D173" s="32"/>
      <c r="E173" s="33"/>
      <c r="F173" s="32"/>
      <c r="G173" s="51"/>
      <c r="H173" s="57"/>
      <c r="I173" s="35"/>
      <c r="J173" s="35"/>
      <c r="K173" s="35"/>
      <c r="L173" s="35"/>
      <c r="M173" s="35"/>
      <c r="N173" s="58"/>
      <c r="O173" s="35"/>
      <c r="P173" s="35"/>
      <c r="Q173" s="35"/>
      <c r="R173" s="58"/>
      <c r="S173" s="35"/>
    </row>
    <row r="174" spans="2:19" ht="15.75" x14ac:dyDescent="0.25">
      <c r="B174" s="38">
        <f>COUNT(B143:B173)</f>
        <v>28</v>
      </c>
      <c r="C174" s="38"/>
      <c r="D174" s="60"/>
      <c r="E174" s="40"/>
      <c r="F174" s="60">
        <f>SUM(F143:F173)</f>
        <v>17441.044000000002</v>
      </c>
      <c r="G174" s="61"/>
      <c r="H174" s="62">
        <f t="shared" ref="H174:O174" si="36">SUM(H143:H173)</f>
        <v>1744.1043999999999</v>
      </c>
      <c r="I174" s="60">
        <f t="shared" si="36"/>
        <v>36718.810000000005</v>
      </c>
      <c r="J174" s="60">
        <f t="shared" si="36"/>
        <v>236374.29099999997</v>
      </c>
      <c r="K174" s="60">
        <f t="shared" si="36"/>
        <v>62698.733</v>
      </c>
      <c r="L174" s="60">
        <f t="shared" si="36"/>
        <v>0</v>
      </c>
      <c r="M174" s="60">
        <f t="shared" si="36"/>
        <v>16935.403999999999</v>
      </c>
      <c r="N174" s="63">
        <f t="shared" si="36"/>
        <v>4943.4829999999993</v>
      </c>
      <c r="O174" s="60">
        <f t="shared" si="36"/>
        <v>11991.921</v>
      </c>
      <c r="P174" s="64"/>
      <c r="Q174" s="64"/>
      <c r="R174" s="65"/>
      <c r="S174" s="66">
        <f>SUM(S143:S173)</f>
        <v>3911</v>
      </c>
    </row>
    <row r="175" spans="2:19" ht="15.75" x14ac:dyDescent="0.25">
      <c r="B175" s="32"/>
      <c r="C175" s="32"/>
      <c r="D175" s="32"/>
      <c r="E175" s="33"/>
      <c r="F175" s="32"/>
      <c r="G175" s="51"/>
      <c r="H175" s="57"/>
      <c r="I175" s="35"/>
      <c r="J175" s="35"/>
      <c r="K175" s="35"/>
      <c r="L175" s="35"/>
      <c r="M175" s="35"/>
      <c r="N175" s="58"/>
      <c r="O175" s="35"/>
      <c r="P175" s="35"/>
      <c r="Q175" s="35"/>
      <c r="R175" s="58"/>
      <c r="S175" s="35"/>
    </row>
    <row r="176" spans="2:19" ht="15.75" x14ac:dyDescent="0.25">
      <c r="B176" s="32"/>
      <c r="C176" s="32"/>
      <c r="D176" s="32"/>
      <c r="E176" s="33"/>
      <c r="F176" s="32"/>
      <c r="G176" s="51"/>
      <c r="H176" s="57"/>
      <c r="I176" s="35"/>
      <c r="J176" s="35"/>
      <c r="K176" s="35"/>
      <c r="L176" s="35"/>
      <c r="M176" s="35"/>
      <c r="N176" s="58"/>
      <c r="O176" s="35"/>
      <c r="P176" s="35"/>
      <c r="Q176" s="35"/>
      <c r="R176" s="58"/>
      <c r="S176" s="35"/>
    </row>
    <row r="177" spans="2:19" ht="18.75" x14ac:dyDescent="0.3">
      <c r="B177" s="32"/>
      <c r="C177" s="37">
        <v>7</v>
      </c>
      <c r="D177" s="37" t="s">
        <v>285</v>
      </c>
      <c r="E177" s="73"/>
      <c r="F177" s="74"/>
      <c r="G177" s="51"/>
      <c r="H177" s="57"/>
      <c r="I177" s="35"/>
      <c r="J177" s="35"/>
      <c r="K177" s="35"/>
      <c r="L177" s="35"/>
      <c r="M177" s="35"/>
      <c r="N177" s="58"/>
      <c r="O177" s="35"/>
      <c r="P177" s="35"/>
      <c r="Q177" s="35"/>
      <c r="R177" s="58"/>
      <c r="S177" s="35"/>
    </row>
    <row r="178" spans="2:19" ht="15.75" x14ac:dyDescent="0.25">
      <c r="B178" s="32"/>
      <c r="C178" s="32"/>
      <c r="D178" s="32"/>
      <c r="E178" s="33"/>
      <c r="F178" s="32"/>
      <c r="G178" s="51"/>
      <c r="H178" s="57"/>
      <c r="I178" s="35"/>
      <c r="J178" s="35"/>
      <c r="K178" s="35"/>
      <c r="L178" s="35"/>
      <c r="M178" s="35"/>
      <c r="N178" s="58"/>
      <c r="O178" s="35"/>
      <c r="P178" s="35"/>
      <c r="Q178" s="35"/>
      <c r="R178" s="58"/>
      <c r="S178" s="35"/>
    </row>
    <row r="179" spans="2:19" ht="15.75" x14ac:dyDescent="0.25">
      <c r="B179" s="72">
        <v>1</v>
      </c>
      <c r="C179" s="72" t="s">
        <v>286</v>
      </c>
      <c r="D179" s="39" t="s">
        <v>287</v>
      </c>
      <c r="E179" s="40">
        <v>44377</v>
      </c>
      <c r="F179" s="41">
        <v>22237</v>
      </c>
      <c r="G179" s="42">
        <v>10</v>
      </c>
      <c r="H179" s="43">
        <f>+F179/G179</f>
        <v>2223.6999999999998</v>
      </c>
      <c r="I179" s="41">
        <v>57424.053</v>
      </c>
      <c r="J179" s="41">
        <v>58084.224000000002</v>
      </c>
      <c r="K179" s="41">
        <f>3086.054+130.272+5920.721</f>
        <v>9137.0469999999987</v>
      </c>
      <c r="L179" s="41">
        <v>0</v>
      </c>
      <c r="M179" s="41">
        <v>8609.9869999999992</v>
      </c>
      <c r="N179" s="43">
        <f>+M179-O179</f>
        <v>0</v>
      </c>
      <c r="O179" s="41">
        <v>8609.9869999999992</v>
      </c>
      <c r="P179" s="44">
        <f>2.5+3.3+3.3+3.3</f>
        <v>12.399999999999999</v>
      </c>
      <c r="Q179" s="44">
        <v>0</v>
      </c>
      <c r="R179" s="45">
        <f>SUM(P179:Q179)</f>
        <v>12.399999999999999</v>
      </c>
      <c r="S179" s="46">
        <v>4127</v>
      </c>
    </row>
    <row r="180" spans="2:19" ht="15.75" x14ac:dyDescent="0.25">
      <c r="B180" s="32"/>
      <c r="C180" s="32"/>
      <c r="D180" s="32"/>
      <c r="E180" s="33"/>
      <c r="F180" s="32"/>
      <c r="G180" s="51"/>
      <c r="H180" s="57"/>
      <c r="I180" s="35"/>
      <c r="J180" s="35"/>
      <c r="K180" s="35"/>
      <c r="L180" s="35"/>
      <c r="M180" s="35"/>
      <c r="N180" s="58"/>
      <c r="O180" s="35"/>
      <c r="P180" s="35"/>
      <c r="Q180" s="35"/>
      <c r="R180" s="58"/>
      <c r="S180" s="35"/>
    </row>
    <row r="181" spans="2:19" ht="15.75" x14ac:dyDescent="0.25">
      <c r="B181" s="38">
        <f>COUNT(B179:B180)</f>
        <v>1</v>
      </c>
      <c r="C181" s="38"/>
      <c r="D181" s="60"/>
      <c r="E181" s="40"/>
      <c r="F181" s="60">
        <f>SUM(F179:F180)</f>
        <v>22237</v>
      </c>
      <c r="G181" s="61"/>
      <c r="H181" s="62">
        <f t="shared" ref="H181:O181" si="37">SUM(H179:H180)</f>
        <v>2223.6999999999998</v>
      </c>
      <c r="I181" s="60">
        <f t="shared" si="37"/>
        <v>57424.053</v>
      </c>
      <c r="J181" s="60">
        <f t="shared" si="37"/>
        <v>58084.224000000002</v>
      </c>
      <c r="K181" s="60">
        <f t="shared" si="37"/>
        <v>9137.0469999999987</v>
      </c>
      <c r="L181" s="60">
        <f t="shared" si="37"/>
        <v>0</v>
      </c>
      <c r="M181" s="60">
        <f t="shared" si="37"/>
        <v>8609.9869999999992</v>
      </c>
      <c r="N181" s="63">
        <f t="shared" si="37"/>
        <v>0</v>
      </c>
      <c r="O181" s="60">
        <f t="shared" si="37"/>
        <v>8609.9869999999992</v>
      </c>
      <c r="P181" s="64"/>
      <c r="Q181" s="64"/>
      <c r="R181" s="65"/>
      <c r="S181" s="66">
        <f>SUM(S179:S180)</f>
        <v>4127</v>
      </c>
    </row>
    <row r="182" spans="2:19" ht="15.75" x14ac:dyDescent="0.25">
      <c r="B182" s="47"/>
      <c r="C182" s="47"/>
      <c r="D182" s="76"/>
      <c r="E182" s="49"/>
      <c r="F182" s="76"/>
      <c r="G182" s="77"/>
      <c r="H182" s="78"/>
      <c r="I182" s="76"/>
      <c r="J182" s="76"/>
      <c r="K182" s="76"/>
      <c r="L182" s="76"/>
      <c r="M182" s="76"/>
      <c r="N182" s="78"/>
      <c r="O182" s="76"/>
      <c r="P182" s="79"/>
      <c r="Q182" s="79"/>
      <c r="R182" s="80"/>
      <c r="S182" s="81"/>
    </row>
    <row r="183" spans="2:19" ht="15.75" x14ac:dyDescent="0.25">
      <c r="B183" s="32"/>
      <c r="C183" s="32"/>
      <c r="D183" s="32"/>
      <c r="E183" s="33"/>
      <c r="F183" s="32"/>
      <c r="G183" s="51"/>
      <c r="H183" s="57"/>
      <c r="I183" s="35"/>
      <c r="J183" s="35"/>
      <c r="K183" s="35"/>
      <c r="L183" s="35"/>
      <c r="M183" s="35"/>
      <c r="N183" s="58"/>
      <c r="O183" s="35"/>
      <c r="P183" s="35"/>
      <c r="Q183" s="35"/>
      <c r="R183" s="58"/>
      <c r="S183" s="35"/>
    </row>
    <row r="184" spans="2:19" ht="18.75" x14ac:dyDescent="0.3">
      <c r="B184" s="32"/>
      <c r="C184" s="37">
        <v>8</v>
      </c>
      <c r="D184" s="37" t="s">
        <v>288</v>
      </c>
      <c r="E184" s="73"/>
      <c r="F184" s="74"/>
      <c r="G184" s="51"/>
      <c r="H184" s="57"/>
      <c r="I184" s="35"/>
      <c r="J184" s="35"/>
      <c r="K184" s="35"/>
      <c r="L184" s="35"/>
      <c r="M184" s="35"/>
      <c r="N184" s="58"/>
      <c r="O184" s="35"/>
      <c r="P184" s="35"/>
      <c r="Q184" s="35"/>
      <c r="R184" s="58"/>
      <c r="S184" s="35"/>
    </row>
    <row r="185" spans="2:19" ht="15.75" x14ac:dyDescent="0.25">
      <c r="B185" s="32"/>
      <c r="C185" s="32"/>
      <c r="D185" s="32"/>
      <c r="E185" s="33"/>
      <c r="F185" s="32"/>
      <c r="G185" s="51"/>
      <c r="H185" s="57"/>
      <c r="I185" s="35"/>
      <c r="J185" s="35"/>
      <c r="K185" s="35"/>
      <c r="L185" s="35"/>
      <c r="M185" s="35"/>
      <c r="N185" s="58"/>
      <c r="O185" s="35"/>
      <c r="P185" s="35"/>
      <c r="Q185" s="35"/>
      <c r="R185" s="58"/>
      <c r="S185" s="35"/>
    </row>
    <row r="187" spans="2:19" ht="15.75" x14ac:dyDescent="0.25">
      <c r="B187" s="72">
        <v>1</v>
      </c>
      <c r="C187" s="72" t="s">
        <v>289</v>
      </c>
      <c r="D187" s="39" t="s">
        <v>290</v>
      </c>
      <c r="E187" s="40">
        <v>44377</v>
      </c>
      <c r="F187" s="41">
        <v>151.77000000000001</v>
      </c>
      <c r="G187" s="42">
        <v>10</v>
      </c>
      <c r="H187" s="43">
        <f t="shared" ref="H187:H222" si="38">+F187/G187</f>
        <v>15.177000000000001</v>
      </c>
      <c r="I187" s="41">
        <v>354.61262499999998</v>
      </c>
      <c r="J187" s="41">
        <v>1212.6895669999999</v>
      </c>
      <c r="K187" s="41">
        <v>1726.2241770000001</v>
      </c>
      <c r="L187" s="41">
        <v>0.17560400000000001</v>
      </c>
      <c r="M187" s="41">
        <v>96.127138000000002</v>
      </c>
      <c r="N187" s="43">
        <f t="shared" ref="N187:N222" si="39">+M187-O187</f>
        <v>19.864430999999996</v>
      </c>
      <c r="O187" s="41">
        <v>76.262707000000006</v>
      </c>
      <c r="P187" s="44">
        <v>0</v>
      </c>
      <c r="Q187" s="44">
        <v>0</v>
      </c>
      <c r="R187" s="45">
        <f t="shared" ref="R187:R222" si="40">SUM(P187:Q187)</f>
        <v>0</v>
      </c>
      <c r="S187" s="46">
        <v>2018</v>
      </c>
    </row>
    <row r="188" spans="2:19" ht="15.75" x14ac:dyDescent="0.25">
      <c r="B188" s="72">
        <f>+B187+1</f>
        <v>2</v>
      </c>
      <c r="C188" s="72" t="s">
        <v>291</v>
      </c>
      <c r="D188" s="39" t="s">
        <v>292</v>
      </c>
      <c r="E188" s="40">
        <v>44377</v>
      </c>
      <c r="F188" s="41">
        <v>8</v>
      </c>
      <c r="G188" s="42">
        <v>10</v>
      </c>
      <c r="H188" s="43">
        <f t="shared" si="38"/>
        <v>0.8</v>
      </c>
      <c r="I188" s="41">
        <v>1249.1111969999999</v>
      </c>
      <c r="J188" s="41">
        <v>2119.1308730000001</v>
      </c>
      <c r="K188" s="41">
        <v>3546.8364849999998</v>
      </c>
      <c r="L188" s="41">
        <v>51.359825999999998</v>
      </c>
      <c r="M188" s="41">
        <v>216.56859700000001</v>
      </c>
      <c r="N188" s="43">
        <f t="shared" si="39"/>
        <v>71.148473000000024</v>
      </c>
      <c r="O188" s="41">
        <v>145.42012399999999</v>
      </c>
      <c r="P188" s="44">
        <v>352.5</v>
      </c>
      <c r="Q188" s="44">
        <v>0</v>
      </c>
      <c r="R188" s="45">
        <f t="shared" si="40"/>
        <v>352.5</v>
      </c>
      <c r="S188" s="46">
        <v>180</v>
      </c>
    </row>
    <row r="189" spans="2:19" ht="15.75" x14ac:dyDescent="0.25">
      <c r="B189" s="72">
        <f t="shared" ref="B189:B222" si="41">+B188+1</f>
        <v>3</v>
      </c>
      <c r="C189" s="72" t="s">
        <v>293</v>
      </c>
      <c r="D189" s="39" t="s">
        <v>294</v>
      </c>
      <c r="E189" s="40">
        <v>44377</v>
      </c>
      <c r="F189" s="41">
        <v>36.521999999999998</v>
      </c>
      <c r="G189" s="42">
        <v>10</v>
      </c>
      <c r="H189" s="43">
        <f t="shared" si="38"/>
        <v>3.6521999999999997</v>
      </c>
      <c r="I189" s="41">
        <v>618.83900000000006</v>
      </c>
      <c r="J189" s="41">
        <v>1839.403</v>
      </c>
      <c r="K189" s="41">
        <v>388.10199999999998</v>
      </c>
      <c r="L189" s="41">
        <v>54.406999999999996</v>
      </c>
      <c r="M189" s="41">
        <v>-227.65700000000001</v>
      </c>
      <c r="N189" s="43">
        <f t="shared" si="39"/>
        <v>44.486999999999995</v>
      </c>
      <c r="O189" s="41">
        <v>-272.14400000000001</v>
      </c>
      <c r="P189" s="44">
        <v>0</v>
      </c>
      <c r="Q189" s="44">
        <v>0</v>
      </c>
      <c r="R189" s="45">
        <f t="shared" si="40"/>
        <v>0</v>
      </c>
      <c r="S189" s="46">
        <v>1601</v>
      </c>
    </row>
    <row r="190" spans="2:19" ht="15.75" x14ac:dyDescent="0.25">
      <c r="B190" s="72">
        <f t="shared" si="41"/>
        <v>4</v>
      </c>
      <c r="C190" s="72" t="s">
        <v>295</v>
      </c>
      <c r="D190" s="39" t="s">
        <v>296</v>
      </c>
      <c r="E190" s="40">
        <v>44377</v>
      </c>
      <c r="F190" s="41">
        <v>226.601</v>
      </c>
      <c r="G190" s="42">
        <v>10</v>
      </c>
      <c r="H190" s="43">
        <f t="shared" si="38"/>
        <v>22.6601</v>
      </c>
      <c r="I190" s="41">
        <v>5023.6289999999999</v>
      </c>
      <c r="J190" s="41">
        <v>6690.5540000000001</v>
      </c>
      <c r="K190" s="41">
        <v>5405.9430000000002</v>
      </c>
      <c r="L190" s="41">
        <v>86.957999999999998</v>
      </c>
      <c r="M190" s="41">
        <v>398.15800000000002</v>
      </c>
      <c r="N190" s="43">
        <f t="shared" si="39"/>
        <v>76.574000000000012</v>
      </c>
      <c r="O190" s="41">
        <v>321.584</v>
      </c>
      <c r="P190" s="44">
        <v>0</v>
      </c>
      <c r="Q190" s="44">
        <v>0</v>
      </c>
      <c r="R190" s="45">
        <f t="shared" si="40"/>
        <v>0</v>
      </c>
      <c r="S190" s="46">
        <v>1449</v>
      </c>
    </row>
    <row r="191" spans="2:19" ht="15.75" x14ac:dyDescent="0.25">
      <c r="B191" s="72">
        <f t="shared" si="41"/>
        <v>5</v>
      </c>
      <c r="C191" s="72" t="s">
        <v>297</v>
      </c>
      <c r="D191" s="39" t="s">
        <v>298</v>
      </c>
      <c r="E191" s="40">
        <v>44377</v>
      </c>
      <c r="F191" s="41">
        <v>124.17876</v>
      </c>
      <c r="G191" s="42">
        <v>10</v>
      </c>
      <c r="H191" s="43">
        <f t="shared" si="38"/>
        <v>12.417876</v>
      </c>
      <c r="I191" s="41">
        <v>3723.848125</v>
      </c>
      <c r="J191" s="41">
        <v>5453.0115230000001</v>
      </c>
      <c r="K191" s="41">
        <v>6091.0134429999998</v>
      </c>
      <c r="L191" s="41">
        <v>116.90869600000001</v>
      </c>
      <c r="M191" s="41">
        <v>591.15288399999997</v>
      </c>
      <c r="N191" s="43">
        <f t="shared" si="39"/>
        <v>136.91362499999997</v>
      </c>
      <c r="O191" s="41">
        <v>454.239259</v>
      </c>
      <c r="P191" s="44">
        <v>15</v>
      </c>
      <c r="Q191" s="44">
        <v>0</v>
      </c>
      <c r="R191" s="45">
        <f t="shared" si="40"/>
        <v>15</v>
      </c>
      <c r="S191" s="46">
        <v>1424</v>
      </c>
    </row>
    <row r="192" spans="2:19" ht="15.75" x14ac:dyDescent="0.25">
      <c r="B192" s="72">
        <f t="shared" si="41"/>
        <v>6</v>
      </c>
      <c r="C192" s="72" t="s">
        <v>299</v>
      </c>
      <c r="D192" s="39" t="s">
        <v>300</v>
      </c>
      <c r="E192" s="40">
        <v>44377</v>
      </c>
      <c r="F192" s="41">
        <v>4980.1000000000004</v>
      </c>
      <c r="G192" s="42">
        <v>10</v>
      </c>
      <c r="H192" s="43">
        <f t="shared" si="38"/>
        <v>498.01000000000005</v>
      </c>
      <c r="I192" s="41">
        <v>9874.1470000000008</v>
      </c>
      <c r="J192" s="41">
        <v>28236.223000000002</v>
      </c>
      <c r="K192" s="41">
        <v>25468.527999999998</v>
      </c>
      <c r="L192" s="41">
        <v>714.86099999999999</v>
      </c>
      <c r="M192" s="41">
        <v>1121.325</v>
      </c>
      <c r="N192" s="43">
        <f t="shared" si="39"/>
        <v>373.06900000000007</v>
      </c>
      <c r="O192" s="41">
        <v>748.25599999999997</v>
      </c>
      <c r="P192" s="44">
        <v>0</v>
      </c>
      <c r="Q192" s="44">
        <v>0</v>
      </c>
      <c r="R192" s="45">
        <f t="shared" si="40"/>
        <v>0</v>
      </c>
      <c r="S192" s="46">
        <v>2818</v>
      </c>
    </row>
    <row r="193" spans="2:19" ht="15.75" x14ac:dyDescent="0.25">
      <c r="B193" s="72">
        <f t="shared" si="41"/>
        <v>7</v>
      </c>
      <c r="C193" s="72" t="s">
        <v>301</v>
      </c>
      <c r="D193" s="39" t="s">
        <v>302</v>
      </c>
      <c r="E193" s="40">
        <v>44377</v>
      </c>
      <c r="F193" s="41">
        <v>977.50725999999997</v>
      </c>
      <c r="G193" s="42">
        <v>10</v>
      </c>
      <c r="H193" s="43">
        <f t="shared" si="38"/>
        <v>97.750726</v>
      </c>
      <c r="I193" s="41">
        <v>2002.677205</v>
      </c>
      <c r="J193" s="41">
        <v>3610.4506980000001</v>
      </c>
      <c r="K193" s="41">
        <v>602.42828999999995</v>
      </c>
      <c r="L193" s="41">
        <v>36.687184999999999</v>
      </c>
      <c r="M193" s="41">
        <v>-119.028659</v>
      </c>
      <c r="N193" s="43">
        <f t="shared" si="39"/>
        <v>-6.4278680000000037</v>
      </c>
      <c r="O193" s="41">
        <v>-112.600791</v>
      </c>
      <c r="P193" s="44">
        <v>0</v>
      </c>
      <c r="Q193" s="44">
        <v>0</v>
      </c>
      <c r="R193" s="45">
        <f t="shared" si="40"/>
        <v>0</v>
      </c>
      <c r="S193" s="46">
        <v>2179</v>
      </c>
    </row>
    <row r="194" spans="2:19" ht="15.75" x14ac:dyDescent="0.25">
      <c r="B194" s="72">
        <f t="shared" si="41"/>
        <v>8</v>
      </c>
      <c r="C194" s="72" t="s">
        <v>303</v>
      </c>
      <c r="D194" s="39" t="s">
        <v>304</v>
      </c>
      <c r="E194" s="40">
        <v>44377</v>
      </c>
      <c r="F194" s="41">
        <v>524.66749000000004</v>
      </c>
      <c r="G194" s="42">
        <v>10</v>
      </c>
      <c r="H194" s="43">
        <f t="shared" si="38"/>
        <v>52.466749000000007</v>
      </c>
      <c r="I194" s="41">
        <v>4676.4873129999996</v>
      </c>
      <c r="J194" s="41">
        <f>9200.629805+8406.964944</f>
        <v>17607.594749</v>
      </c>
      <c r="K194" s="41">
        <v>17641.434612000001</v>
      </c>
      <c r="L194" s="41">
        <v>700.72835599999996</v>
      </c>
      <c r="M194" s="41">
        <v>1937.0166469999999</v>
      </c>
      <c r="N194" s="43">
        <f t="shared" si="39"/>
        <v>374.09566099999984</v>
      </c>
      <c r="O194" s="41">
        <v>1562.9209860000001</v>
      </c>
      <c r="P194" s="44">
        <v>0</v>
      </c>
      <c r="Q194" s="44">
        <v>0</v>
      </c>
      <c r="R194" s="45">
        <f t="shared" si="40"/>
        <v>0</v>
      </c>
      <c r="S194" s="46">
        <v>851</v>
      </c>
    </row>
    <row r="195" spans="2:19" ht="15.75" x14ac:dyDescent="0.25">
      <c r="B195" s="72">
        <f t="shared" si="41"/>
        <v>9</v>
      </c>
      <c r="C195" s="72" t="s">
        <v>305</v>
      </c>
      <c r="D195" s="39" t="s">
        <v>306</v>
      </c>
      <c r="E195" s="40">
        <v>44377</v>
      </c>
      <c r="F195" s="41">
        <v>836.85631000000001</v>
      </c>
      <c r="G195" s="42">
        <v>10</v>
      </c>
      <c r="H195" s="43">
        <f t="shared" si="38"/>
        <v>83.685631000000001</v>
      </c>
      <c r="I195" s="41">
        <v>173.24418700000001</v>
      </c>
      <c r="J195" s="41">
        <v>478.79369500000001</v>
      </c>
      <c r="K195" s="41">
        <v>133.96965800000001</v>
      </c>
      <c r="L195" s="41">
        <v>11.450615000000001</v>
      </c>
      <c r="M195" s="41">
        <v>-31.483976999999999</v>
      </c>
      <c r="N195" s="43">
        <f t="shared" si="39"/>
        <v>-21.804738</v>
      </c>
      <c r="O195" s="41">
        <v>-9.6792390000000008</v>
      </c>
      <c r="P195" s="44">
        <v>0</v>
      </c>
      <c r="Q195" s="44">
        <v>0</v>
      </c>
      <c r="R195" s="45">
        <f t="shared" si="40"/>
        <v>0</v>
      </c>
      <c r="S195" s="46">
        <v>2071</v>
      </c>
    </row>
    <row r="196" spans="2:19" ht="15.75" x14ac:dyDescent="0.25">
      <c r="B196" s="72">
        <f t="shared" si="41"/>
        <v>10</v>
      </c>
      <c r="C196" s="72" t="s">
        <v>307</v>
      </c>
      <c r="D196" s="39" t="s">
        <v>308</v>
      </c>
      <c r="E196" s="40">
        <v>44377</v>
      </c>
      <c r="F196" s="41">
        <v>13</v>
      </c>
      <c r="G196" s="42">
        <v>10</v>
      </c>
      <c r="H196" s="43">
        <f t="shared" si="38"/>
        <v>1.3</v>
      </c>
      <c r="I196" s="41">
        <v>65.297359</v>
      </c>
      <c r="J196" s="41">
        <v>176.82762</v>
      </c>
      <c r="K196" s="41">
        <v>508.76567399999999</v>
      </c>
      <c r="L196" s="41">
        <v>1.7470000000000001E-3</v>
      </c>
      <c r="M196" s="41">
        <v>11.844215999999999</v>
      </c>
      <c r="N196" s="43">
        <f t="shared" si="39"/>
        <v>6.5301469999999995</v>
      </c>
      <c r="O196" s="41">
        <v>5.3140689999999999</v>
      </c>
      <c r="P196" s="44">
        <v>0</v>
      </c>
      <c r="Q196" s="44">
        <v>0</v>
      </c>
      <c r="R196" s="45">
        <f t="shared" si="40"/>
        <v>0</v>
      </c>
      <c r="S196" s="46">
        <v>122</v>
      </c>
    </row>
    <row r="197" spans="2:19" ht="15.75" x14ac:dyDescent="0.25">
      <c r="B197" s="72">
        <f t="shared" si="41"/>
        <v>11</v>
      </c>
      <c r="C197" s="72" t="s">
        <v>309</v>
      </c>
      <c r="D197" s="39" t="s">
        <v>310</v>
      </c>
      <c r="E197" s="40">
        <v>44377</v>
      </c>
      <c r="F197" s="41">
        <v>109.5</v>
      </c>
      <c r="G197" s="42">
        <v>10</v>
      </c>
      <c r="H197" s="43">
        <f t="shared" si="38"/>
        <v>10.95</v>
      </c>
      <c r="I197" s="41">
        <v>2552.0705250000001</v>
      </c>
      <c r="J197" s="41">
        <v>6189.405178</v>
      </c>
      <c r="K197" s="41">
        <v>7715.5088679999999</v>
      </c>
      <c r="L197" s="41">
        <v>115.62667500000001</v>
      </c>
      <c r="M197" s="41">
        <v>1016.226252</v>
      </c>
      <c r="N197" s="43">
        <f t="shared" si="39"/>
        <v>202.62925400000006</v>
      </c>
      <c r="O197" s="41">
        <v>813.59699799999999</v>
      </c>
      <c r="P197" s="44">
        <f>75+25</f>
        <v>100</v>
      </c>
      <c r="Q197" s="44">
        <v>0</v>
      </c>
      <c r="R197" s="45">
        <f t="shared" si="40"/>
        <v>100</v>
      </c>
      <c r="S197" s="46">
        <v>454</v>
      </c>
    </row>
    <row r="198" spans="2:19" ht="15.75" x14ac:dyDescent="0.25">
      <c r="B198" s="72">
        <f t="shared" si="41"/>
        <v>12</v>
      </c>
      <c r="C198" s="72" t="s">
        <v>311</v>
      </c>
      <c r="D198" s="39" t="s">
        <v>312</v>
      </c>
      <c r="E198" s="40">
        <v>44377</v>
      </c>
      <c r="F198" s="41">
        <v>280.29599999999999</v>
      </c>
      <c r="G198" s="42">
        <v>10</v>
      </c>
      <c r="H198" s="43">
        <f t="shared" si="38"/>
        <v>28.029599999999999</v>
      </c>
      <c r="I198" s="41">
        <v>12610.075000000001</v>
      </c>
      <c r="J198" s="41">
        <v>31226.196</v>
      </c>
      <c r="K198" s="41">
        <v>41009.841</v>
      </c>
      <c r="L198" s="41">
        <v>631.06100000000004</v>
      </c>
      <c r="M198" s="41">
        <v>4026.1</v>
      </c>
      <c r="N198" s="43">
        <f t="shared" si="39"/>
        <v>491.9989999999998</v>
      </c>
      <c r="O198" s="41">
        <v>3534.1010000000001</v>
      </c>
      <c r="P198" s="44">
        <v>120</v>
      </c>
      <c r="Q198" s="44">
        <v>0</v>
      </c>
      <c r="R198" s="45">
        <f t="shared" si="40"/>
        <v>120</v>
      </c>
      <c r="S198" s="46">
        <v>2072</v>
      </c>
    </row>
    <row r="199" spans="2:19" ht="15.75" x14ac:dyDescent="0.25">
      <c r="B199" s="72">
        <f t="shared" si="41"/>
        <v>13</v>
      </c>
      <c r="C199" s="72" t="s">
        <v>313</v>
      </c>
      <c r="D199" s="39" t="s">
        <v>314</v>
      </c>
      <c r="E199" s="40">
        <v>44377</v>
      </c>
      <c r="F199" s="41">
        <v>198.52799999999999</v>
      </c>
      <c r="G199" s="42">
        <v>10</v>
      </c>
      <c r="H199" s="43">
        <f t="shared" si="38"/>
        <v>19.852799999999998</v>
      </c>
      <c r="I199" s="41">
        <v>2086.6135429999999</v>
      </c>
      <c r="J199" s="41">
        <v>4230.1396580000001</v>
      </c>
      <c r="K199" s="41">
        <v>4002.4827310000001</v>
      </c>
      <c r="L199" s="41">
        <v>171.43688</v>
      </c>
      <c r="M199" s="41">
        <v>222.858732</v>
      </c>
      <c r="N199" s="43">
        <f t="shared" si="39"/>
        <v>63.057635000000005</v>
      </c>
      <c r="O199" s="41">
        <v>159.801097</v>
      </c>
      <c r="P199" s="44">
        <v>10</v>
      </c>
      <c r="Q199" s="44">
        <v>0</v>
      </c>
      <c r="R199" s="45">
        <f t="shared" si="40"/>
        <v>10</v>
      </c>
      <c r="S199" s="46">
        <v>1423</v>
      </c>
    </row>
    <row r="200" spans="2:19" ht="15.75" x14ac:dyDescent="0.25">
      <c r="B200" s="72">
        <f t="shared" si="41"/>
        <v>14</v>
      </c>
      <c r="C200" s="72" t="s">
        <v>315</v>
      </c>
      <c r="D200" s="39" t="s">
        <v>316</v>
      </c>
      <c r="E200" s="40">
        <v>44377</v>
      </c>
      <c r="F200" s="41">
        <v>99.2</v>
      </c>
      <c r="G200" s="42">
        <v>10</v>
      </c>
      <c r="H200" s="43">
        <f t="shared" si="38"/>
        <v>9.92</v>
      </c>
      <c r="I200" s="41">
        <v>1025.973</v>
      </c>
      <c r="J200" s="41">
        <v>2828.8649999999998</v>
      </c>
      <c r="K200" s="41">
        <v>4793.1450000000004</v>
      </c>
      <c r="L200" s="41">
        <v>94.096000000000004</v>
      </c>
      <c r="M200" s="41">
        <v>296.77699999999999</v>
      </c>
      <c r="N200" s="43">
        <f t="shared" si="39"/>
        <v>94.472999999999985</v>
      </c>
      <c r="O200" s="41">
        <v>202.304</v>
      </c>
      <c r="P200" s="44">
        <v>18</v>
      </c>
      <c r="Q200" s="44">
        <v>0</v>
      </c>
      <c r="R200" s="45">
        <f t="shared" si="40"/>
        <v>18</v>
      </c>
      <c r="S200" s="46">
        <v>1364</v>
      </c>
    </row>
    <row r="201" spans="2:19" ht="15.75" x14ac:dyDescent="0.25">
      <c r="B201" s="72">
        <f t="shared" si="41"/>
        <v>15</v>
      </c>
      <c r="C201" s="72" t="s">
        <v>317</v>
      </c>
      <c r="D201" s="39" t="s">
        <v>318</v>
      </c>
      <c r="E201" s="40">
        <v>44377</v>
      </c>
      <c r="F201" s="41">
        <v>542.21100000000001</v>
      </c>
      <c r="G201" s="42">
        <v>10</v>
      </c>
      <c r="H201" s="43">
        <f t="shared" si="38"/>
        <v>54.2211</v>
      </c>
      <c r="I201" s="41">
        <v>15581.79</v>
      </c>
      <c r="J201" s="41">
        <v>26225.053</v>
      </c>
      <c r="K201" s="41">
        <v>32906.864999999998</v>
      </c>
      <c r="L201" s="41">
        <v>591.00699999999995</v>
      </c>
      <c r="M201" s="41">
        <v>3926.7579999999998</v>
      </c>
      <c r="N201" s="43">
        <f t="shared" si="39"/>
        <v>622.25900000000001</v>
      </c>
      <c r="O201" s="41">
        <v>3304.4989999999998</v>
      </c>
      <c r="P201" s="44">
        <f>100</f>
        <v>100</v>
      </c>
      <c r="Q201" s="44">
        <f>200</f>
        <v>200</v>
      </c>
      <c r="R201" s="45">
        <f t="shared" si="40"/>
        <v>300</v>
      </c>
      <c r="S201" s="46">
        <v>1984</v>
      </c>
    </row>
    <row r="202" spans="2:19" ht="15.75" x14ac:dyDescent="0.25">
      <c r="B202" s="72">
        <f t="shared" si="41"/>
        <v>16</v>
      </c>
      <c r="C202" s="72" t="s">
        <v>319</v>
      </c>
      <c r="D202" s="59" t="s">
        <v>320</v>
      </c>
      <c r="E202" s="40">
        <v>44377</v>
      </c>
      <c r="F202" s="82">
        <v>126.0116</v>
      </c>
      <c r="G202" s="83">
        <v>10</v>
      </c>
      <c r="H202" s="84">
        <f t="shared" si="38"/>
        <v>12.60116</v>
      </c>
      <c r="I202" s="82">
        <v>468.973229</v>
      </c>
      <c r="J202" s="82">
        <v>822.41014800000005</v>
      </c>
      <c r="K202" s="82">
        <v>1522.4714670000001</v>
      </c>
      <c r="L202" s="82">
        <v>9.3401999999999999E-2</v>
      </c>
      <c r="M202" s="82">
        <v>106.46154300000001</v>
      </c>
      <c r="N202" s="84">
        <f t="shared" si="39"/>
        <v>16.400142000000002</v>
      </c>
      <c r="O202" s="82">
        <v>90.061401000000004</v>
      </c>
      <c r="P202" s="85">
        <v>0</v>
      </c>
      <c r="Q202" s="85">
        <v>0</v>
      </c>
      <c r="R202" s="86">
        <f t="shared" si="40"/>
        <v>0</v>
      </c>
      <c r="S202" s="87">
        <v>1734</v>
      </c>
    </row>
    <row r="203" spans="2:19" ht="15.75" x14ac:dyDescent="0.25">
      <c r="B203" s="72">
        <f t="shared" si="41"/>
        <v>17</v>
      </c>
      <c r="C203" s="72" t="s">
        <v>321</v>
      </c>
      <c r="D203" s="39" t="s">
        <v>322</v>
      </c>
      <c r="E203" s="40">
        <v>44377</v>
      </c>
      <c r="F203" s="41">
        <v>47.847999999999999</v>
      </c>
      <c r="G203" s="42">
        <v>10</v>
      </c>
      <c r="H203" s="43">
        <f t="shared" si="38"/>
        <v>4.7847999999999997</v>
      </c>
      <c r="I203" s="41">
        <v>3510.1149999999998</v>
      </c>
      <c r="J203" s="41">
        <v>5275.5919999999996</v>
      </c>
      <c r="K203" s="41">
        <v>5610.2979999999998</v>
      </c>
      <c r="L203" s="41">
        <v>50.289000000000001</v>
      </c>
      <c r="M203" s="41">
        <v>434.36799999999999</v>
      </c>
      <c r="N203" s="43">
        <f t="shared" si="39"/>
        <v>161.26400000000001</v>
      </c>
      <c r="O203" s="41">
        <v>273.10399999999998</v>
      </c>
      <c r="P203" s="44">
        <v>0</v>
      </c>
      <c r="Q203" s="44">
        <v>0</v>
      </c>
      <c r="R203" s="45">
        <f t="shared" si="40"/>
        <v>0</v>
      </c>
      <c r="S203" s="46">
        <v>1171</v>
      </c>
    </row>
    <row r="204" spans="2:19" ht="15.75" x14ac:dyDescent="0.25">
      <c r="B204" s="72">
        <f t="shared" si="41"/>
        <v>18</v>
      </c>
      <c r="C204" s="72" t="s">
        <v>323</v>
      </c>
      <c r="D204" s="39" t="s">
        <v>324</v>
      </c>
      <c r="E204" s="40">
        <v>44377</v>
      </c>
      <c r="F204" s="41">
        <v>1023.175</v>
      </c>
      <c r="G204" s="42">
        <v>10</v>
      </c>
      <c r="H204" s="43">
        <f t="shared" si="38"/>
        <v>102.3175</v>
      </c>
      <c r="I204" s="41">
        <v>7163.5789999999997</v>
      </c>
      <c r="J204" s="41">
        <v>13471.058000000001</v>
      </c>
      <c r="K204" s="41">
        <v>17402.936000000002</v>
      </c>
      <c r="L204" s="41">
        <v>266.541</v>
      </c>
      <c r="M204" s="41">
        <v>2142.4059999999999</v>
      </c>
      <c r="N204" s="43">
        <f t="shared" si="39"/>
        <v>330.72599999999989</v>
      </c>
      <c r="O204" s="41">
        <v>1811.68</v>
      </c>
      <c r="P204" s="44">
        <v>15</v>
      </c>
      <c r="Q204" s="44">
        <v>0</v>
      </c>
      <c r="R204" s="45">
        <f t="shared" si="40"/>
        <v>15</v>
      </c>
      <c r="S204" s="46">
        <v>318</v>
      </c>
    </row>
    <row r="205" spans="2:19" ht="15.75" x14ac:dyDescent="0.25">
      <c r="B205" s="72">
        <f t="shared" si="41"/>
        <v>19</v>
      </c>
      <c r="C205" s="72" t="s">
        <v>325</v>
      </c>
      <c r="D205" s="39" t="s">
        <v>326</v>
      </c>
      <c r="E205" s="40">
        <v>44377</v>
      </c>
      <c r="F205" s="41">
        <v>131.74799999999999</v>
      </c>
      <c r="G205" s="42">
        <v>10</v>
      </c>
      <c r="H205" s="43">
        <f t="shared" si="38"/>
        <v>13.174799999999999</v>
      </c>
      <c r="I205" s="41">
        <v>-112.014</v>
      </c>
      <c r="J205" s="41">
        <v>516.40099999999995</v>
      </c>
      <c r="K205" s="41">
        <v>973.06500000000005</v>
      </c>
      <c r="L205" s="41">
        <v>9.4120000000000008</v>
      </c>
      <c r="M205" s="41">
        <v>77.475999999999999</v>
      </c>
      <c r="N205" s="43">
        <f t="shared" si="39"/>
        <v>44.263999999999996</v>
      </c>
      <c r="O205" s="41">
        <v>33.212000000000003</v>
      </c>
      <c r="P205" s="44">
        <v>0</v>
      </c>
      <c r="Q205" s="44">
        <v>0</v>
      </c>
      <c r="R205" s="45">
        <f t="shared" si="40"/>
        <v>0</v>
      </c>
      <c r="S205" s="46">
        <v>1802</v>
      </c>
    </row>
    <row r="206" spans="2:19" ht="15.75" x14ac:dyDescent="0.25">
      <c r="B206" s="72">
        <f t="shared" si="41"/>
        <v>20</v>
      </c>
      <c r="C206" s="72" t="s">
        <v>327</v>
      </c>
      <c r="D206" s="59" t="s">
        <v>328</v>
      </c>
      <c r="E206" s="40">
        <v>44377</v>
      </c>
      <c r="F206" s="82">
        <v>208</v>
      </c>
      <c r="G206" s="83">
        <v>10</v>
      </c>
      <c r="H206" s="84">
        <f t="shared" si="38"/>
        <v>20.8</v>
      </c>
      <c r="I206" s="82">
        <v>1949.002</v>
      </c>
      <c r="J206" s="82">
        <v>4232.107</v>
      </c>
      <c r="K206" s="82">
        <v>3620.143</v>
      </c>
      <c r="L206" s="82">
        <v>111.883</v>
      </c>
      <c r="M206" s="82">
        <v>466.63299999999998</v>
      </c>
      <c r="N206" s="84">
        <f t="shared" si="39"/>
        <v>154.46299999999997</v>
      </c>
      <c r="O206" s="82">
        <v>312.17</v>
      </c>
      <c r="P206" s="85">
        <v>10</v>
      </c>
      <c r="Q206" s="85">
        <v>0</v>
      </c>
      <c r="R206" s="86">
        <f t="shared" si="40"/>
        <v>10</v>
      </c>
      <c r="S206" s="87">
        <v>773</v>
      </c>
    </row>
    <row r="207" spans="2:19" ht="15.75" x14ac:dyDescent="0.25">
      <c r="B207" s="72">
        <f t="shared" si="41"/>
        <v>21</v>
      </c>
      <c r="C207" s="72" t="s">
        <v>329</v>
      </c>
      <c r="D207" s="39" t="s">
        <v>330</v>
      </c>
      <c r="E207" s="40">
        <v>44377</v>
      </c>
      <c r="F207" s="41">
        <v>1078.5714250000001</v>
      </c>
      <c r="G207" s="42">
        <v>5</v>
      </c>
      <c r="H207" s="43">
        <f t="shared" si="38"/>
        <v>215.71428500000002</v>
      </c>
      <c r="I207" s="41">
        <v>-1092.270575</v>
      </c>
      <c r="J207" s="41">
        <v>2618.0289899999998</v>
      </c>
      <c r="K207" s="41">
        <v>2807.0750509999998</v>
      </c>
      <c r="L207" s="41">
        <v>9.5097439999999995</v>
      </c>
      <c r="M207" s="41">
        <v>-327.22976199999999</v>
      </c>
      <c r="N207" s="43">
        <f t="shared" si="39"/>
        <v>42.106126000000017</v>
      </c>
      <c r="O207" s="41">
        <v>-369.33588800000001</v>
      </c>
      <c r="P207" s="44">
        <v>0</v>
      </c>
      <c r="Q207" s="44">
        <v>0</v>
      </c>
      <c r="R207" s="45">
        <f t="shared" si="40"/>
        <v>0</v>
      </c>
      <c r="S207" s="46">
        <v>3067</v>
      </c>
    </row>
    <row r="208" spans="2:19" ht="15.75" x14ac:dyDescent="0.25">
      <c r="B208" s="72">
        <f t="shared" si="41"/>
        <v>22</v>
      </c>
      <c r="C208" s="72" t="s">
        <v>331</v>
      </c>
      <c r="D208" s="39" t="s">
        <v>332</v>
      </c>
      <c r="E208" s="40">
        <v>44377</v>
      </c>
      <c r="F208" s="41">
        <v>184.32</v>
      </c>
      <c r="G208" s="42">
        <v>10</v>
      </c>
      <c r="H208" s="43">
        <f t="shared" si="38"/>
        <v>18.431999999999999</v>
      </c>
      <c r="I208" s="41">
        <v>2111.0158470000001</v>
      </c>
      <c r="J208" s="41">
        <v>5476.6863389999999</v>
      </c>
      <c r="K208" s="41">
        <v>7351.7408269999996</v>
      </c>
      <c r="L208" s="41">
        <v>186.09113400000001</v>
      </c>
      <c r="M208" s="41">
        <v>272.52793200000002</v>
      </c>
      <c r="N208" s="43">
        <f t="shared" si="39"/>
        <v>116.25695200000001</v>
      </c>
      <c r="O208" s="41">
        <v>156.27098000000001</v>
      </c>
      <c r="P208" s="44">
        <v>17.5</v>
      </c>
      <c r="Q208" s="44">
        <v>0</v>
      </c>
      <c r="R208" s="45">
        <f t="shared" si="40"/>
        <v>17.5</v>
      </c>
      <c r="S208" s="46">
        <v>591</v>
      </c>
    </row>
    <row r="209" spans="2:19" ht="15.75" x14ac:dyDescent="0.25">
      <c r="B209" s="72">
        <f t="shared" si="41"/>
        <v>23</v>
      </c>
      <c r="C209" s="72" t="s">
        <v>333</v>
      </c>
      <c r="D209" s="39" t="s">
        <v>334</v>
      </c>
      <c r="E209" s="40">
        <v>44377</v>
      </c>
      <c r="F209" s="41">
        <v>187</v>
      </c>
      <c r="G209" s="42">
        <v>10</v>
      </c>
      <c r="H209" s="43">
        <f t="shared" si="38"/>
        <v>18.7</v>
      </c>
      <c r="I209" s="41">
        <v>2568.3968199999999</v>
      </c>
      <c r="J209" s="41">
        <v>6389.5854600000002</v>
      </c>
      <c r="K209" s="41">
        <v>7184.6345959999999</v>
      </c>
      <c r="L209" s="41">
        <v>155.52368799999999</v>
      </c>
      <c r="M209" s="41">
        <v>988.87609799999996</v>
      </c>
      <c r="N209" s="43">
        <f t="shared" si="39"/>
        <v>245.37784399999998</v>
      </c>
      <c r="O209" s="41">
        <v>743.49825399999997</v>
      </c>
      <c r="P209" s="44">
        <f>75+25</f>
        <v>100</v>
      </c>
      <c r="Q209" s="44">
        <v>0</v>
      </c>
      <c r="R209" s="45">
        <f t="shared" si="40"/>
        <v>100</v>
      </c>
      <c r="S209" s="46">
        <v>897</v>
      </c>
    </row>
    <row r="210" spans="2:19" ht="15.75" x14ac:dyDescent="0.25">
      <c r="B210" s="72">
        <f t="shared" si="41"/>
        <v>24</v>
      </c>
      <c r="C210" s="72" t="s">
        <v>335</v>
      </c>
      <c r="D210" s="39" t="s">
        <v>336</v>
      </c>
      <c r="E210" s="40">
        <v>44377</v>
      </c>
      <c r="F210" s="41">
        <v>215.11985000000001</v>
      </c>
      <c r="G210" s="42">
        <v>10</v>
      </c>
      <c r="H210" s="43">
        <f t="shared" si="38"/>
        <v>21.511985000000003</v>
      </c>
      <c r="I210" s="41">
        <v>2979.6634119999999</v>
      </c>
      <c r="J210" s="41">
        <v>6182.1927089999999</v>
      </c>
      <c r="K210" s="41">
        <v>9420.6015069999994</v>
      </c>
      <c r="L210" s="41">
        <v>261.29371900000001</v>
      </c>
      <c r="M210" s="41">
        <v>758.17498899999998</v>
      </c>
      <c r="N210" s="43">
        <f t="shared" si="39"/>
        <v>119.30616599999996</v>
      </c>
      <c r="O210" s="41">
        <v>638.86882300000002</v>
      </c>
      <c r="P210" s="44">
        <v>30</v>
      </c>
      <c r="Q210" s="44">
        <v>0</v>
      </c>
      <c r="R210" s="45">
        <f t="shared" si="40"/>
        <v>30</v>
      </c>
      <c r="S210" s="46">
        <v>41</v>
      </c>
    </row>
    <row r="211" spans="2:19" ht="15.75" x14ac:dyDescent="0.25">
      <c r="B211" s="72">
        <f t="shared" si="41"/>
        <v>25</v>
      </c>
      <c r="C211" s="72" t="s">
        <v>337</v>
      </c>
      <c r="D211" s="39" t="s">
        <v>338</v>
      </c>
      <c r="E211" s="40">
        <v>44377</v>
      </c>
      <c r="F211" s="41">
        <v>120</v>
      </c>
      <c r="G211" s="42">
        <v>10</v>
      </c>
      <c r="H211" s="43">
        <f t="shared" si="38"/>
        <v>12</v>
      </c>
      <c r="I211" s="41">
        <v>14.795831</v>
      </c>
      <c r="J211" s="41">
        <v>814.74640399999998</v>
      </c>
      <c r="K211" s="41">
        <f>90.934022+206.704896+13.130573</f>
        <v>310.76949100000002</v>
      </c>
      <c r="L211" s="41">
        <v>11.524675999999999</v>
      </c>
      <c r="M211" s="41">
        <v>22.158788999999999</v>
      </c>
      <c r="N211" s="43">
        <f t="shared" si="39"/>
        <v>14.364757999999998</v>
      </c>
      <c r="O211" s="41">
        <v>7.7940310000000004</v>
      </c>
      <c r="P211" s="44">
        <v>0</v>
      </c>
      <c r="Q211" s="44">
        <v>0</v>
      </c>
      <c r="R211" s="45">
        <f t="shared" si="40"/>
        <v>0</v>
      </c>
      <c r="S211" s="46">
        <v>424</v>
      </c>
    </row>
    <row r="212" spans="2:19" ht="15.75" x14ac:dyDescent="0.25">
      <c r="B212" s="72">
        <f t="shared" si="41"/>
        <v>26</v>
      </c>
      <c r="C212" s="72" t="s">
        <v>339</v>
      </c>
      <c r="D212" s="39" t="s">
        <v>340</v>
      </c>
      <c r="E212" s="40">
        <v>44377</v>
      </c>
      <c r="F212" s="41">
        <v>61.63</v>
      </c>
      <c r="G212" s="42">
        <v>10</v>
      </c>
      <c r="H212" s="43">
        <f t="shared" si="38"/>
        <v>6.1630000000000003</v>
      </c>
      <c r="I212" s="41">
        <v>3372.5723290000001</v>
      </c>
      <c r="J212" s="41">
        <v>13256.319799999999</v>
      </c>
      <c r="K212" s="41">
        <v>11484.466704</v>
      </c>
      <c r="L212" s="41">
        <v>597.43288800000005</v>
      </c>
      <c r="M212" s="41">
        <v>1503.9320540000001</v>
      </c>
      <c r="N212" s="43">
        <f t="shared" si="39"/>
        <v>117.67326000000003</v>
      </c>
      <c r="O212" s="41">
        <v>1386.2587940000001</v>
      </c>
      <c r="P212" s="44">
        <v>500</v>
      </c>
      <c r="Q212" s="44">
        <v>0</v>
      </c>
      <c r="R212" s="45">
        <f t="shared" si="40"/>
        <v>500</v>
      </c>
      <c r="S212" s="46">
        <v>730</v>
      </c>
    </row>
    <row r="213" spans="2:19" ht="15.75" x14ac:dyDescent="0.25">
      <c r="B213" s="72">
        <f t="shared" si="41"/>
        <v>27</v>
      </c>
      <c r="C213" s="72" t="s">
        <v>341</v>
      </c>
      <c r="D213" s="39" t="s">
        <v>342</v>
      </c>
      <c r="E213" s="40">
        <v>44377</v>
      </c>
      <c r="F213" s="41">
        <v>102.92</v>
      </c>
      <c r="G213" s="42">
        <v>10</v>
      </c>
      <c r="H213" s="43">
        <f t="shared" si="38"/>
        <v>10.292</v>
      </c>
      <c r="I213" s="41">
        <v>3570.668592</v>
      </c>
      <c r="J213" s="41">
        <v>6718.8288949999996</v>
      </c>
      <c r="K213" s="41">
        <v>7681.9020209999999</v>
      </c>
      <c r="L213" s="41">
        <v>194.97870900000001</v>
      </c>
      <c r="M213" s="41">
        <v>1280.1756640000001</v>
      </c>
      <c r="N213" s="43">
        <f t="shared" si="39"/>
        <v>80.662126000000171</v>
      </c>
      <c r="O213" s="41">
        <v>1199.5135379999999</v>
      </c>
      <c r="P213" s="44">
        <v>50</v>
      </c>
      <c r="Q213" s="44">
        <v>0</v>
      </c>
      <c r="R213" s="45">
        <f t="shared" si="40"/>
        <v>50</v>
      </c>
      <c r="S213" s="46">
        <v>480</v>
      </c>
    </row>
    <row r="214" spans="2:19" ht="15.75" x14ac:dyDescent="0.25">
      <c r="B214" s="72">
        <f t="shared" si="41"/>
        <v>28</v>
      </c>
      <c r="C214" s="72" t="s">
        <v>343</v>
      </c>
      <c r="D214" s="39" t="s">
        <v>344</v>
      </c>
      <c r="E214" s="40">
        <v>44377</v>
      </c>
      <c r="F214" s="41">
        <v>264.12900000000002</v>
      </c>
      <c r="G214" s="42">
        <v>10</v>
      </c>
      <c r="H214" s="43">
        <f t="shared" si="38"/>
        <v>26.4129</v>
      </c>
      <c r="I214" s="41">
        <v>3670.1120000000001</v>
      </c>
      <c r="J214" s="41">
        <v>11906.244000000001</v>
      </c>
      <c r="K214" s="41">
        <v>10646.677</v>
      </c>
      <c r="L214" s="41">
        <v>666.36699999999996</v>
      </c>
      <c r="M214" s="41">
        <v>691.38400000000001</v>
      </c>
      <c r="N214" s="43">
        <f t="shared" si="39"/>
        <v>164.50700000000006</v>
      </c>
      <c r="O214" s="41">
        <v>526.87699999999995</v>
      </c>
      <c r="P214" s="44">
        <v>0</v>
      </c>
      <c r="Q214" s="44">
        <v>0</v>
      </c>
      <c r="R214" s="45">
        <f t="shared" si="40"/>
        <v>0</v>
      </c>
      <c r="S214" s="46">
        <v>1339</v>
      </c>
    </row>
    <row r="215" spans="2:19" ht="15.75" x14ac:dyDescent="0.25">
      <c r="B215" s="72">
        <f t="shared" si="41"/>
        <v>29</v>
      </c>
      <c r="C215" s="72" t="s">
        <v>345</v>
      </c>
      <c r="D215" s="39" t="s">
        <v>346</v>
      </c>
      <c r="E215" s="40">
        <v>44377</v>
      </c>
      <c r="F215" s="41">
        <v>137.87567000000001</v>
      </c>
      <c r="G215" s="42">
        <v>10</v>
      </c>
      <c r="H215" s="43">
        <f t="shared" si="38"/>
        <v>13.787567000000001</v>
      </c>
      <c r="I215" s="41">
        <v>563.21072400000003</v>
      </c>
      <c r="J215" s="41">
        <v>866.90091600000005</v>
      </c>
      <c r="K215" s="41">
        <v>1230.0095240000001</v>
      </c>
      <c r="L215" s="41">
        <v>5.0101800000000001</v>
      </c>
      <c r="M215" s="41">
        <v>80.734973999999994</v>
      </c>
      <c r="N215" s="43">
        <f t="shared" si="39"/>
        <v>21.192083999999994</v>
      </c>
      <c r="O215" s="41">
        <v>59.54289</v>
      </c>
      <c r="P215" s="44">
        <v>10</v>
      </c>
      <c r="Q215" s="44">
        <v>0</v>
      </c>
      <c r="R215" s="45">
        <f t="shared" si="40"/>
        <v>10</v>
      </c>
      <c r="S215" s="46">
        <v>1275</v>
      </c>
    </row>
    <row r="216" spans="2:19" ht="15.75" x14ac:dyDescent="0.25">
      <c r="B216" s="72">
        <f t="shared" si="41"/>
        <v>30</v>
      </c>
      <c r="C216" s="72" t="s">
        <v>347</v>
      </c>
      <c r="D216" s="39" t="s">
        <v>348</v>
      </c>
      <c r="E216" s="40">
        <v>44377</v>
      </c>
      <c r="F216" s="41">
        <v>176.36718999999999</v>
      </c>
      <c r="G216" s="42">
        <v>10</v>
      </c>
      <c r="H216" s="43">
        <f t="shared" si="38"/>
        <v>17.636718999999999</v>
      </c>
      <c r="I216" s="41">
        <v>445.03570200000001</v>
      </c>
      <c r="J216" s="41">
        <v>1273.276431</v>
      </c>
      <c r="K216" s="41">
        <v>110.031908</v>
      </c>
      <c r="L216" s="41">
        <v>0.12615699999999999</v>
      </c>
      <c r="M216" s="41">
        <v>-52.865580999999999</v>
      </c>
      <c r="N216" s="43">
        <f t="shared" si="39"/>
        <v>3.8923610000000011</v>
      </c>
      <c r="O216" s="41">
        <v>-56.757942</v>
      </c>
      <c r="P216" s="44">
        <v>0</v>
      </c>
      <c r="Q216" s="44">
        <v>0</v>
      </c>
      <c r="R216" s="45">
        <f t="shared" si="40"/>
        <v>0</v>
      </c>
      <c r="S216" s="46">
        <v>1123</v>
      </c>
    </row>
    <row r="217" spans="2:19" ht="15.75" x14ac:dyDescent="0.25">
      <c r="B217" s="72">
        <f t="shared" si="41"/>
        <v>31</v>
      </c>
      <c r="C217" s="72" t="s">
        <v>349</v>
      </c>
      <c r="D217" s="39" t="s">
        <v>350</v>
      </c>
      <c r="E217" s="40">
        <v>44377</v>
      </c>
      <c r="F217" s="41">
        <v>166</v>
      </c>
      <c r="G217" s="42">
        <v>10</v>
      </c>
      <c r="H217" s="43">
        <f t="shared" si="38"/>
        <v>16.600000000000001</v>
      </c>
      <c r="I217" s="41">
        <v>1402.5450000000001</v>
      </c>
      <c r="J217" s="41">
        <v>2442.8969999999999</v>
      </c>
      <c r="K217" s="41">
        <v>3305.2170000000001</v>
      </c>
      <c r="L217" s="41">
        <v>32.628</v>
      </c>
      <c r="M217" s="41">
        <v>239.49</v>
      </c>
      <c r="N217" s="43">
        <f t="shared" si="39"/>
        <v>68.849000000000018</v>
      </c>
      <c r="O217" s="41">
        <v>170.64099999999999</v>
      </c>
      <c r="P217" s="44">
        <v>10</v>
      </c>
      <c r="Q217" s="44">
        <v>0</v>
      </c>
      <c r="R217" s="45">
        <f t="shared" si="40"/>
        <v>10</v>
      </c>
      <c r="S217" s="46">
        <v>504</v>
      </c>
    </row>
    <row r="218" spans="2:19" ht="15.75" x14ac:dyDescent="0.25">
      <c r="B218" s="72">
        <f t="shared" si="41"/>
        <v>32</v>
      </c>
      <c r="C218" s="72" t="s">
        <v>351</v>
      </c>
      <c r="D218" s="39" t="s">
        <v>352</v>
      </c>
      <c r="E218" s="40">
        <v>44377</v>
      </c>
      <c r="F218" s="41">
        <v>110</v>
      </c>
      <c r="G218" s="42">
        <v>10</v>
      </c>
      <c r="H218" s="43">
        <f t="shared" si="38"/>
        <v>11</v>
      </c>
      <c r="I218" s="41">
        <v>512.80692299999998</v>
      </c>
      <c r="J218" s="41">
        <v>1485.3317280000001</v>
      </c>
      <c r="K218" s="41">
        <v>2128.999401</v>
      </c>
      <c r="L218" s="41">
        <v>60.473300999999999</v>
      </c>
      <c r="M218" s="41">
        <v>137.16806600000001</v>
      </c>
      <c r="N218" s="43">
        <f t="shared" si="39"/>
        <v>42.389340000000004</v>
      </c>
      <c r="O218" s="41">
        <v>94.778726000000006</v>
      </c>
      <c r="P218" s="44">
        <f>10+15</f>
        <v>25</v>
      </c>
      <c r="Q218" s="44">
        <v>10</v>
      </c>
      <c r="R218" s="45">
        <f t="shared" si="40"/>
        <v>35</v>
      </c>
      <c r="S218" s="46">
        <v>510</v>
      </c>
    </row>
    <row r="219" spans="2:19" ht="15.75" x14ac:dyDescent="0.25">
      <c r="B219" s="72">
        <f t="shared" si="41"/>
        <v>33</v>
      </c>
      <c r="C219" s="72" t="s">
        <v>353</v>
      </c>
      <c r="D219" s="39" t="s">
        <v>354</v>
      </c>
      <c r="E219" s="40">
        <v>44377</v>
      </c>
      <c r="F219" s="41">
        <v>298.40607</v>
      </c>
      <c r="G219" s="42">
        <v>10</v>
      </c>
      <c r="H219" s="43">
        <f t="shared" si="38"/>
        <v>29.840606999999999</v>
      </c>
      <c r="I219" s="41">
        <v>739.05459900000005</v>
      </c>
      <c r="J219" s="41">
        <v>2175.9335120000001</v>
      </c>
      <c r="K219" s="41">
        <v>3653.4626960000001</v>
      </c>
      <c r="L219" s="41">
        <v>69.361115999999996</v>
      </c>
      <c r="M219" s="41">
        <v>231.71937500000001</v>
      </c>
      <c r="N219" s="43">
        <f t="shared" si="39"/>
        <v>57.292569000000015</v>
      </c>
      <c r="O219" s="41">
        <v>174.426806</v>
      </c>
      <c r="P219" s="44">
        <v>0</v>
      </c>
      <c r="Q219" s="44">
        <v>0</v>
      </c>
      <c r="R219" s="45">
        <f t="shared" si="40"/>
        <v>0</v>
      </c>
      <c r="S219" s="46">
        <v>1067</v>
      </c>
    </row>
    <row r="220" spans="2:19" ht="15.75" x14ac:dyDescent="0.25">
      <c r="B220" s="72">
        <f t="shared" si="41"/>
        <v>34</v>
      </c>
      <c r="C220" s="72" t="s">
        <v>355</v>
      </c>
      <c r="D220" s="39" t="s">
        <v>356</v>
      </c>
      <c r="E220" s="40">
        <v>44377</v>
      </c>
      <c r="F220" s="41">
        <v>207</v>
      </c>
      <c r="G220" s="42">
        <v>10</v>
      </c>
      <c r="H220" s="43">
        <f t="shared" si="38"/>
        <v>20.7</v>
      </c>
      <c r="I220" s="41">
        <v>4407.7393430000002</v>
      </c>
      <c r="J220" s="41">
        <v>5967.2435079999996</v>
      </c>
      <c r="K220" s="41">
        <v>8640.8833900000009</v>
      </c>
      <c r="L220" s="41">
        <v>64.116279000000006</v>
      </c>
      <c r="M220" s="41">
        <v>1239.0434170000001</v>
      </c>
      <c r="N220" s="43">
        <f t="shared" si="39"/>
        <v>88.879156000000194</v>
      </c>
      <c r="O220" s="41">
        <v>1150.1642609999999</v>
      </c>
      <c r="P220" s="44">
        <f>200</f>
        <v>200</v>
      </c>
      <c r="Q220" s="44">
        <f>200</f>
        <v>200</v>
      </c>
      <c r="R220" s="45">
        <f t="shared" si="40"/>
        <v>400</v>
      </c>
      <c r="S220" s="46">
        <v>1745</v>
      </c>
    </row>
    <row r="221" spans="2:19" ht="15.75" x14ac:dyDescent="0.25">
      <c r="B221" s="72">
        <f t="shared" si="41"/>
        <v>35</v>
      </c>
      <c r="C221" s="72" t="s">
        <v>357</v>
      </c>
      <c r="D221" s="39" t="s">
        <v>358</v>
      </c>
      <c r="E221" s="40">
        <v>44377</v>
      </c>
      <c r="F221" s="41">
        <v>179.71372</v>
      </c>
      <c r="G221" s="42">
        <v>10</v>
      </c>
      <c r="H221" s="43">
        <f t="shared" si="38"/>
        <v>17.971371999999999</v>
      </c>
      <c r="I221" s="41">
        <v>2790.4499919999998</v>
      </c>
      <c r="J221" s="41">
        <v>4648.9564730000002</v>
      </c>
      <c r="K221" s="41">
        <v>6927.0568139999996</v>
      </c>
      <c r="L221" s="41">
        <v>73.796745000000001</v>
      </c>
      <c r="M221" s="41">
        <v>438.76021500000002</v>
      </c>
      <c r="N221" s="43">
        <f t="shared" si="39"/>
        <v>133.10615300000001</v>
      </c>
      <c r="O221" s="41">
        <v>305.65406200000001</v>
      </c>
      <c r="P221" s="44">
        <v>0</v>
      </c>
      <c r="Q221" s="44">
        <v>0</v>
      </c>
      <c r="R221" s="45">
        <f t="shared" si="40"/>
        <v>0</v>
      </c>
      <c r="S221" s="46">
        <v>785</v>
      </c>
    </row>
    <row r="222" spans="2:19" ht="15.75" x14ac:dyDescent="0.25">
      <c r="B222" s="72">
        <f t="shared" si="41"/>
        <v>36</v>
      </c>
      <c r="C222" s="72" t="s">
        <v>359</v>
      </c>
      <c r="D222" s="39" t="s">
        <v>360</v>
      </c>
      <c r="E222" s="40">
        <v>44377</v>
      </c>
      <c r="F222" s="41">
        <v>173.2475</v>
      </c>
      <c r="G222" s="42">
        <v>10</v>
      </c>
      <c r="H222" s="43">
        <f t="shared" si="38"/>
        <v>17.324750000000002</v>
      </c>
      <c r="I222" s="41">
        <v>4978.97865</v>
      </c>
      <c r="J222" s="41">
        <v>9100.1347170000008</v>
      </c>
      <c r="K222" s="41">
        <v>8962.0761610000009</v>
      </c>
      <c r="L222" s="41">
        <v>253.039781</v>
      </c>
      <c r="M222" s="41">
        <v>908.19788000000005</v>
      </c>
      <c r="N222" s="43">
        <f t="shared" si="39"/>
        <v>84.568263999999999</v>
      </c>
      <c r="O222" s="41">
        <v>823.62961600000006</v>
      </c>
      <c r="P222" s="44">
        <v>0</v>
      </c>
      <c r="Q222" s="44">
        <v>0</v>
      </c>
      <c r="R222" s="45">
        <f t="shared" si="40"/>
        <v>0</v>
      </c>
      <c r="S222" s="46">
        <v>2235</v>
      </c>
    </row>
    <row r="223" spans="2:19" ht="15.75" x14ac:dyDescent="0.25">
      <c r="B223" s="75"/>
      <c r="C223" s="75"/>
      <c r="D223" s="48"/>
      <c r="E223" s="49"/>
      <c r="F223" s="50"/>
      <c r="G223" s="51"/>
      <c r="H223" s="52"/>
      <c r="I223" s="50"/>
      <c r="J223" s="50"/>
      <c r="K223" s="50"/>
      <c r="L223" s="50"/>
      <c r="M223" s="50"/>
      <c r="N223" s="52"/>
      <c r="O223" s="50"/>
      <c r="P223" s="53"/>
      <c r="Q223" s="53"/>
      <c r="R223" s="54"/>
      <c r="S223" s="55"/>
    </row>
    <row r="224" spans="2:19" ht="18.75" x14ac:dyDescent="0.3">
      <c r="B224" s="32"/>
      <c r="C224" s="32"/>
      <c r="D224" s="68" t="s">
        <v>41</v>
      </c>
      <c r="E224" s="33"/>
      <c r="F224" s="32"/>
      <c r="G224" s="51"/>
      <c r="H224" s="57"/>
      <c r="I224" s="35"/>
      <c r="J224" s="35"/>
      <c r="K224" s="35"/>
      <c r="L224" s="35"/>
      <c r="M224" s="35"/>
      <c r="N224" s="58"/>
      <c r="O224" s="35"/>
      <c r="P224" s="35"/>
      <c r="Q224" s="35"/>
      <c r="R224" s="58"/>
      <c r="S224" s="35"/>
    </row>
    <row r="225" spans="2:19" ht="15.75" x14ac:dyDescent="0.25">
      <c r="B225" s="72">
        <v>1</v>
      </c>
      <c r="C225" s="72" t="s">
        <v>361</v>
      </c>
      <c r="D225" s="39" t="s">
        <v>362</v>
      </c>
      <c r="E225" s="40">
        <v>44377</v>
      </c>
      <c r="F225" s="41"/>
      <c r="G225" s="42">
        <v>10</v>
      </c>
      <c r="H225" s="43">
        <f t="shared" ref="H225:H249" si="42">+F225/G225</f>
        <v>0</v>
      </c>
      <c r="I225" s="41"/>
      <c r="J225" s="41"/>
      <c r="K225" s="41"/>
      <c r="L225" s="41"/>
      <c r="M225" s="41"/>
      <c r="N225" s="43">
        <f t="shared" ref="N225:N249" si="43">+M225-O225</f>
        <v>0</v>
      </c>
      <c r="O225" s="41"/>
      <c r="P225" s="44"/>
      <c r="Q225" s="44"/>
      <c r="R225" s="45">
        <f t="shared" ref="R225:R249" si="44">SUM(P225:Q225)</f>
        <v>0</v>
      </c>
      <c r="S225" s="46"/>
    </row>
    <row r="226" spans="2:19" ht="15.75" x14ac:dyDescent="0.25">
      <c r="B226" s="72">
        <f>+B225+1</f>
        <v>2</v>
      </c>
      <c r="C226" s="72" t="s">
        <v>363</v>
      </c>
      <c r="D226" s="39" t="s">
        <v>364</v>
      </c>
      <c r="E226" s="40">
        <v>44377</v>
      </c>
      <c r="F226" s="41">
        <v>222.13346999999999</v>
      </c>
      <c r="G226" s="42">
        <v>5</v>
      </c>
      <c r="H226" s="43">
        <f t="shared" si="42"/>
        <v>44.426693999999998</v>
      </c>
      <c r="I226" s="41">
        <v>1613.523745</v>
      </c>
      <c r="J226" s="41">
        <v>1702.851801</v>
      </c>
      <c r="K226" s="41">
        <v>8.8924000000000003</v>
      </c>
      <c r="L226" s="41">
        <v>0.13809399999999999</v>
      </c>
      <c r="M226" s="41">
        <v>116.522566</v>
      </c>
      <c r="N226" s="43">
        <f t="shared" si="43"/>
        <v>11.413124999999994</v>
      </c>
      <c r="O226" s="41">
        <v>105.109441</v>
      </c>
      <c r="P226" s="44">
        <v>0</v>
      </c>
      <c r="Q226" s="44">
        <v>0</v>
      </c>
      <c r="R226" s="45">
        <f t="shared" si="44"/>
        <v>0</v>
      </c>
      <c r="S226" s="46">
        <v>1094</v>
      </c>
    </row>
    <row r="227" spans="2:19" ht="15.75" x14ac:dyDescent="0.25">
      <c r="B227" s="72">
        <f t="shared" ref="B227:B252" si="45">+B226+1</f>
        <v>3</v>
      </c>
      <c r="C227" s="72" t="s">
        <v>365</v>
      </c>
      <c r="D227" s="39" t="s">
        <v>366</v>
      </c>
      <c r="E227" s="40">
        <v>44377</v>
      </c>
      <c r="F227" s="41">
        <v>2594.30134</v>
      </c>
      <c r="G227" s="42">
        <v>10</v>
      </c>
      <c r="H227" s="43">
        <f>+F227/G227</f>
        <v>259.43013400000001</v>
      </c>
      <c r="I227" s="41">
        <v>-9198.0709970000007</v>
      </c>
      <c r="J227" s="41">
        <v>3576.9062880000001</v>
      </c>
      <c r="K227" s="41">
        <v>1074.9829500000001</v>
      </c>
      <c r="L227" s="41">
        <v>96.477311999999998</v>
      </c>
      <c r="M227" s="41">
        <v>-131.91811000000001</v>
      </c>
      <c r="N227" s="43">
        <f>+M227-O227</f>
        <v>15.990632999999974</v>
      </c>
      <c r="O227" s="41">
        <v>-147.90874299999999</v>
      </c>
      <c r="P227" s="44">
        <v>0</v>
      </c>
      <c r="Q227" s="44">
        <v>0</v>
      </c>
      <c r="R227" s="45">
        <f>SUM(P227:Q227)</f>
        <v>0</v>
      </c>
      <c r="S227" s="46">
        <v>2542</v>
      </c>
    </row>
    <row r="228" spans="2:19" ht="15.75" x14ac:dyDescent="0.25">
      <c r="B228" s="72">
        <f t="shared" si="45"/>
        <v>4</v>
      </c>
      <c r="C228" s="72" t="s">
        <v>367</v>
      </c>
      <c r="D228" s="39" t="s">
        <v>368</v>
      </c>
      <c r="E228" s="40">
        <v>44377</v>
      </c>
      <c r="F228" s="41"/>
      <c r="G228" s="42">
        <v>5</v>
      </c>
      <c r="H228" s="43">
        <f t="shared" si="42"/>
        <v>0</v>
      </c>
      <c r="I228" s="41"/>
      <c r="J228" s="41"/>
      <c r="K228" s="41"/>
      <c r="L228" s="41"/>
      <c r="M228" s="41"/>
      <c r="N228" s="43">
        <f t="shared" si="43"/>
        <v>0</v>
      </c>
      <c r="O228" s="41"/>
      <c r="P228" s="44"/>
      <c r="Q228" s="44"/>
      <c r="R228" s="45">
        <f t="shared" si="44"/>
        <v>0</v>
      </c>
      <c r="S228" s="46"/>
    </row>
    <row r="229" spans="2:19" ht="15.75" x14ac:dyDescent="0.25">
      <c r="B229" s="72">
        <f t="shared" si="45"/>
        <v>5</v>
      </c>
      <c r="C229" s="72" t="s">
        <v>369</v>
      </c>
      <c r="D229" s="39" t="s">
        <v>370</v>
      </c>
      <c r="E229" s="40">
        <v>44377</v>
      </c>
      <c r="F229" s="41"/>
      <c r="G229" s="42">
        <v>10</v>
      </c>
      <c r="H229" s="43">
        <f t="shared" si="42"/>
        <v>0</v>
      </c>
      <c r="I229" s="41"/>
      <c r="J229" s="41"/>
      <c r="K229" s="41"/>
      <c r="L229" s="41"/>
      <c r="M229" s="41"/>
      <c r="N229" s="43">
        <f t="shared" si="43"/>
        <v>0</v>
      </c>
      <c r="O229" s="41"/>
      <c r="P229" s="44"/>
      <c r="Q229" s="44"/>
      <c r="R229" s="45">
        <f t="shared" si="44"/>
        <v>0</v>
      </c>
      <c r="S229" s="46"/>
    </row>
    <row r="230" spans="2:19" ht="15.75" x14ac:dyDescent="0.25">
      <c r="B230" s="72">
        <f t="shared" si="45"/>
        <v>6</v>
      </c>
      <c r="C230" s="72" t="s">
        <v>371</v>
      </c>
      <c r="D230" s="39" t="s">
        <v>372</v>
      </c>
      <c r="E230" s="40">
        <v>44469</v>
      </c>
      <c r="F230" s="41"/>
      <c r="G230" s="42">
        <v>10</v>
      </c>
      <c r="H230" s="43">
        <f t="shared" si="42"/>
        <v>0</v>
      </c>
      <c r="I230" s="41"/>
      <c r="J230" s="41"/>
      <c r="K230" s="41"/>
      <c r="L230" s="41"/>
      <c r="M230" s="41"/>
      <c r="N230" s="43">
        <f t="shared" si="43"/>
        <v>0</v>
      </c>
      <c r="O230" s="41"/>
      <c r="P230" s="44"/>
      <c r="Q230" s="44"/>
      <c r="R230" s="45">
        <f t="shared" si="44"/>
        <v>0</v>
      </c>
      <c r="S230" s="46"/>
    </row>
    <row r="231" spans="2:19" ht="15.75" x14ac:dyDescent="0.25">
      <c r="B231" s="72">
        <f t="shared" si="45"/>
        <v>7</v>
      </c>
      <c r="C231" s="72" t="s">
        <v>373</v>
      </c>
      <c r="D231" s="39" t="s">
        <v>374</v>
      </c>
      <c r="E231" s="40">
        <v>44377</v>
      </c>
      <c r="F231" s="41">
        <v>141</v>
      </c>
      <c r="G231" s="42">
        <v>10</v>
      </c>
      <c r="H231" s="43">
        <f>+F231/G231</f>
        <v>14.1</v>
      </c>
      <c r="I231" s="41">
        <v>102.51714800000001</v>
      </c>
      <c r="J231" s="41">
        <v>1066.529761</v>
      </c>
      <c r="K231" s="41">
        <v>0</v>
      </c>
      <c r="L231" s="41">
        <v>1.8240080000000001</v>
      </c>
      <c r="M231" s="41">
        <v>-5.2960890000000003</v>
      </c>
      <c r="N231" s="43">
        <f>+M231-O231</f>
        <v>0</v>
      </c>
      <c r="O231" s="41">
        <v>-5.2960890000000003</v>
      </c>
      <c r="P231" s="44">
        <v>0</v>
      </c>
      <c r="Q231" s="44">
        <v>0</v>
      </c>
      <c r="R231" s="45">
        <f>SUM(P231:Q231)</f>
        <v>0</v>
      </c>
      <c r="S231" s="46">
        <v>1202</v>
      </c>
    </row>
    <row r="232" spans="2:19" ht="15.75" x14ac:dyDescent="0.25">
      <c r="B232" s="72">
        <f t="shared" si="45"/>
        <v>8</v>
      </c>
      <c r="C232" s="72" t="s">
        <v>375</v>
      </c>
      <c r="D232" s="39" t="s">
        <v>376</v>
      </c>
      <c r="E232" s="40">
        <v>44377</v>
      </c>
      <c r="F232" s="41">
        <v>607.88099999999997</v>
      </c>
      <c r="G232" s="42">
        <v>5</v>
      </c>
      <c r="H232" s="43">
        <f>+F232/G232</f>
        <v>121.5762</v>
      </c>
      <c r="I232" s="41">
        <v>-51.268751999999999</v>
      </c>
      <c r="J232" s="41">
        <v>821.99498200000005</v>
      </c>
      <c r="K232" s="41">
        <v>0</v>
      </c>
      <c r="L232" s="41">
        <v>1.1224E-2</v>
      </c>
      <c r="M232" s="41">
        <v>-48.574883999999997</v>
      </c>
      <c r="N232" s="43">
        <f>+M232-O232</f>
        <v>0</v>
      </c>
      <c r="O232" s="41">
        <v>-48.574883999999997</v>
      </c>
      <c r="P232" s="44">
        <v>0</v>
      </c>
      <c r="Q232" s="44">
        <v>0</v>
      </c>
      <c r="R232" s="45">
        <f>SUM(P232:Q232)</f>
        <v>0</v>
      </c>
      <c r="S232" s="46">
        <v>1391</v>
      </c>
    </row>
    <row r="233" spans="2:19" ht="15.75" x14ac:dyDescent="0.25">
      <c r="B233" s="72">
        <f t="shared" si="45"/>
        <v>9</v>
      </c>
      <c r="C233" s="72" t="s">
        <v>377</v>
      </c>
      <c r="D233" s="39" t="s">
        <v>378</v>
      </c>
      <c r="E233" s="40">
        <v>44377</v>
      </c>
      <c r="F233" s="41"/>
      <c r="G233" s="42">
        <v>10</v>
      </c>
      <c r="H233" s="43">
        <f t="shared" si="42"/>
        <v>0</v>
      </c>
      <c r="I233" s="41"/>
      <c r="J233" s="41"/>
      <c r="K233" s="41"/>
      <c r="L233" s="41"/>
      <c r="M233" s="41"/>
      <c r="N233" s="43">
        <f t="shared" si="43"/>
        <v>0</v>
      </c>
      <c r="O233" s="41"/>
      <c r="P233" s="44"/>
      <c r="Q233" s="44"/>
      <c r="R233" s="45">
        <f t="shared" si="44"/>
        <v>0</v>
      </c>
      <c r="S233" s="46"/>
    </row>
    <row r="234" spans="2:19" ht="15.75" x14ac:dyDescent="0.25">
      <c r="B234" s="72">
        <f t="shared" si="45"/>
        <v>10</v>
      </c>
      <c r="C234" s="72" t="s">
        <v>379</v>
      </c>
      <c r="D234" s="39" t="s">
        <v>380</v>
      </c>
      <c r="E234" s="40">
        <v>44377</v>
      </c>
      <c r="F234" s="41">
        <v>96.107590000000002</v>
      </c>
      <c r="G234" s="42">
        <v>10</v>
      </c>
      <c r="H234" s="43">
        <f>+F234/G234</f>
        <v>9.6107589999999998</v>
      </c>
      <c r="I234" s="41">
        <v>-176.89297999999999</v>
      </c>
      <c r="J234" s="41">
        <v>652.75443199999995</v>
      </c>
      <c r="K234" s="41">
        <v>0</v>
      </c>
      <c r="L234" s="41">
        <v>10.526729</v>
      </c>
      <c r="M234" s="41">
        <v>-58.210335999999998</v>
      </c>
      <c r="N234" s="43">
        <f>+M234-O234</f>
        <v>-12.335004999999995</v>
      </c>
      <c r="O234" s="41">
        <v>-45.875331000000003</v>
      </c>
      <c r="P234" s="44">
        <v>0</v>
      </c>
      <c r="Q234" s="44">
        <v>0</v>
      </c>
      <c r="R234" s="45">
        <f>SUM(P234:Q234)</f>
        <v>0</v>
      </c>
      <c r="S234" s="46">
        <v>697</v>
      </c>
    </row>
    <row r="235" spans="2:19" ht="15.75" x14ac:dyDescent="0.25">
      <c r="B235" s="72">
        <f t="shared" si="45"/>
        <v>11</v>
      </c>
      <c r="C235" s="72" t="s">
        <v>381</v>
      </c>
      <c r="D235" s="39" t="s">
        <v>382</v>
      </c>
      <c r="E235" s="40">
        <v>44377</v>
      </c>
      <c r="F235" s="41">
        <v>115.61028</v>
      </c>
      <c r="G235" s="42">
        <v>10</v>
      </c>
      <c r="H235" s="43">
        <f>+F235/G235</f>
        <v>11.561028</v>
      </c>
      <c r="I235" s="41">
        <v>111.440167</v>
      </c>
      <c r="J235" s="41">
        <v>813.33752400000003</v>
      </c>
      <c r="K235" s="41">
        <v>0</v>
      </c>
      <c r="L235" s="41">
        <v>16.504217000000001</v>
      </c>
      <c r="M235" s="41">
        <v>-61.089444</v>
      </c>
      <c r="N235" s="43">
        <f>+M235-O235</f>
        <v>-8.2965780000000038</v>
      </c>
      <c r="O235" s="41">
        <v>-52.792865999999997</v>
      </c>
      <c r="P235" s="44">
        <v>0</v>
      </c>
      <c r="Q235" s="44">
        <v>0</v>
      </c>
      <c r="R235" s="45">
        <f>SUM(P235:Q235)</f>
        <v>0</v>
      </c>
      <c r="S235" s="46">
        <v>635</v>
      </c>
    </row>
    <row r="236" spans="2:19" ht="15.75" x14ac:dyDescent="0.25">
      <c r="B236" s="72">
        <f t="shared" si="45"/>
        <v>12</v>
      </c>
      <c r="C236" s="72" t="s">
        <v>383</v>
      </c>
      <c r="D236" s="39" t="s">
        <v>384</v>
      </c>
      <c r="E236" s="40">
        <v>44377</v>
      </c>
      <c r="F236" s="41">
        <v>30.524290000000001</v>
      </c>
      <c r="G236" s="42">
        <v>10</v>
      </c>
      <c r="H236" s="43">
        <f>+F236/G236</f>
        <v>3.0524290000000001</v>
      </c>
      <c r="I236" s="41">
        <v>524.84422199999995</v>
      </c>
      <c r="J236" s="41">
        <v>640.33660599999996</v>
      </c>
      <c r="K236" s="41">
        <v>1.6976929999999999</v>
      </c>
      <c r="L236" s="41">
        <v>0.17516899999999999</v>
      </c>
      <c r="M236" s="41">
        <v>-8.9920670000000005</v>
      </c>
      <c r="N236" s="43">
        <f>+M236-O236</f>
        <v>4.6736719999999998</v>
      </c>
      <c r="O236" s="41">
        <v>-13.665739</v>
      </c>
      <c r="P236" s="44">
        <v>0</v>
      </c>
      <c r="Q236" s="44">
        <v>0</v>
      </c>
      <c r="R236" s="45">
        <f>SUM(P236:Q236)</f>
        <v>0</v>
      </c>
      <c r="S236" s="46">
        <v>328</v>
      </c>
    </row>
    <row r="237" spans="2:19" ht="15.75" x14ac:dyDescent="0.25">
      <c r="B237" s="72">
        <f t="shared" si="45"/>
        <v>13</v>
      </c>
      <c r="C237" s="72" t="s">
        <v>385</v>
      </c>
      <c r="D237" s="59" t="s">
        <v>386</v>
      </c>
      <c r="E237" s="40">
        <v>44377</v>
      </c>
      <c r="F237" s="41">
        <v>80</v>
      </c>
      <c r="G237" s="42">
        <v>10</v>
      </c>
      <c r="H237" s="43">
        <f>+F237/G237</f>
        <v>8</v>
      </c>
      <c r="I237" s="41">
        <v>-137.569222</v>
      </c>
      <c r="J237" s="41">
        <f>343.317354+28.234592</f>
        <v>371.55194600000004</v>
      </c>
      <c r="K237" s="41">
        <v>0</v>
      </c>
      <c r="L237" s="41">
        <v>0.78838299999999994</v>
      </c>
      <c r="M237" s="41">
        <v>25.492034</v>
      </c>
      <c r="N237" s="43">
        <f>+M237-O237</f>
        <v>4.3801629999999996</v>
      </c>
      <c r="O237" s="41">
        <v>21.111871000000001</v>
      </c>
      <c r="P237" s="44">
        <v>0</v>
      </c>
      <c r="Q237" s="44">
        <v>0</v>
      </c>
      <c r="R237" s="45">
        <f>SUM(P237:Q237)</f>
        <v>0</v>
      </c>
      <c r="S237" s="46">
        <v>1195</v>
      </c>
    </row>
    <row r="238" spans="2:19" ht="15.75" x14ac:dyDescent="0.25">
      <c r="B238" s="72">
        <f t="shared" si="45"/>
        <v>14</v>
      </c>
      <c r="C238" s="72" t="s">
        <v>387</v>
      </c>
      <c r="D238" s="39" t="s">
        <v>388</v>
      </c>
      <c r="E238" s="40">
        <v>44377</v>
      </c>
      <c r="F238" s="41">
        <v>460.64609000000002</v>
      </c>
      <c r="G238" s="42">
        <v>10</v>
      </c>
      <c r="H238" s="43">
        <f t="shared" si="42"/>
        <v>46.064609000000004</v>
      </c>
      <c r="I238" s="41">
        <v>-3906.360259</v>
      </c>
      <c r="J238" s="41">
        <v>1671.46506</v>
      </c>
      <c r="K238" s="41">
        <v>76.816999999999993</v>
      </c>
      <c r="L238" s="41">
        <v>248.771252</v>
      </c>
      <c r="M238" s="41">
        <v>-520.88997400000005</v>
      </c>
      <c r="N238" s="43">
        <f t="shared" si="43"/>
        <v>-15.818397000000061</v>
      </c>
      <c r="O238" s="41">
        <v>-505.07157699999999</v>
      </c>
      <c r="P238" s="44">
        <v>0</v>
      </c>
      <c r="Q238" s="44">
        <v>0</v>
      </c>
      <c r="R238" s="45">
        <f t="shared" si="44"/>
        <v>0</v>
      </c>
      <c r="S238" s="46">
        <v>322</v>
      </c>
    </row>
    <row r="239" spans="2:19" ht="15.75" x14ac:dyDescent="0.25">
      <c r="B239" s="72">
        <f t="shared" si="45"/>
        <v>15</v>
      </c>
      <c r="C239" s="72" t="s">
        <v>389</v>
      </c>
      <c r="D239" s="39" t="s">
        <v>390</v>
      </c>
      <c r="E239" s="40">
        <v>44377</v>
      </c>
      <c r="F239" s="41"/>
      <c r="G239" s="42">
        <v>10</v>
      </c>
      <c r="H239" s="43">
        <f t="shared" si="42"/>
        <v>0</v>
      </c>
      <c r="I239" s="41"/>
      <c r="J239" s="41"/>
      <c r="K239" s="41"/>
      <c r="L239" s="41"/>
      <c r="M239" s="41"/>
      <c r="N239" s="43">
        <f t="shared" si="43"/>
        <v>0</v>
      </c>
      <c r="O239" s="41"/>
      <c r="P239" s="44"/>
      <c r="Q239" s="44"/>
      <c r="R239" s="45">
        <f t="shared" si="44"/>
        <v>0</v>
      </c>
      <c r="S239" s="46"/>
    </row>
    <row r="240" spans="2:19" ht="15.75" x14ac:dyDescent="0.25">
      <c r="B240" s="72">
        <f t="shared" si="45"/>
        <v>16</v>
      </c>
      <c r="C240" s="72" t="s">
        <v>391</v>
      </c>
      <c r="D240" s="39" t="s">
        <v>392</v>
      </c>
      <c r="E240" s="40">
        <v>44377</v>
      </c>
      <c r="F240" s="41">
        <v>163.66399999999999</v>
      </c>
      <c r="G240" s="42">
        <v>10</v>
      </c>
      <c r="H240" s="43">
        <f t="shared" si="42"/>
        <v>16.366399999999999</v>
      </c>
      <c r="I240" s="41">
        <v>52.137999999999998</v>
      </c>
      <c r="J240" s="41">
        <v>53.101999999999997</v>
      </c>
      <c r="K240" s="41">
        <v>0</v>
      </c>
      <c r="L240" s="41">
        <v>0</v>
      </c>
      <c r="M240" s="41">
        <v>-0.96</v>
      </c>
      <c r="N240" s="43">
        <f t="shared" si="43"/>
        <v>0</v>
      </c>
      <c r="O240" s="41">
        <v>-0.96</v>
      </c>
      <c r="P240" s="44">
        <v>0</v>
      </c>
      <c r="Q240" s="44">
        <v>0</v>
      </c>
      <c r="R240" s="45">
        <f t="shared" si="44"/>
        <v>0</v>
      </c>
      <c r="S240" s="46">
        <v>483</v>
      </c>
    </row>
    <row r="241" spans="2:19" ht="15.75" x14ac:dyDescent="0.25">
      <c r="B241" s="72">
        <f t="shared" si="45"/>
        <v>17</v>
      </c>
      <c r="C241" s="72" t="s">
        <v>393</v>
      </c>
      <c r="D241" s="39" t="s">
        <v>394</v>
      </c>
      <c r="E241" s="40">
        <v>44377</v>
      </c>
      <c r="F241" s="41"/>
      <c r="G241" s="42">
        <v>10</v>
      </c>
      <c r="H241" s="43">
        <f t="shared" si="42"/>
        <v>0</v>
      </c>
      <c r="I241" s="41"/>
      <c r="J241" s="41"/>
      <c r="K241" s="41"/>
      <c r="L241" s="41"/>
      <c r="M241" s="41"/>
      <c r="N241" s="43">
        <f t="shared" si="43"/>
        <v>0</v>
      </c>
      <c r="O241" s="41"/>
      <c r="P241" s="44"/>
      <c r="Q241" s="44"/>
      <c r="R241" s="45">
        <f t="shared" si="44"/>
        <v>0</v>
      </c>
      <c r="S241" s="46"/>
    </row>
    <row r="242" spans="2:19" ht="15.75" x14ac:dyDescent="0.25">
      <c r="B242" s="72">
        <f t="shared" si="45"/>
        <v>18</v>
      </c>
      <c r="C242" s="72" t="s">
        <v>395</v>
      </c>
      <c r="D242" s="39" t="s">
        <v>396</v>
      </c>
      <c r="E242" s="40">
        <v>44377</v>
      </c>
      <c r="F242" s="41"/>
      <c r="G242" s="42">
        <v>10</v>
      </c>
      <c r="H242" s="43">
        <f t="shared" si="42"/>
        <v>0</v>
      </c>
      <c r="I242" s="41"/>
      <c r="J242" s="41"/>
      <c r="K242" s="41"/>
      <c r="L242" s="41"/>
      <c r="M242" s="41"/>
      <c r="N242" s="43">
        <f t="shared" si="43"/>
        <v>0</v>
      </c>
      <c r="O242" s="41"/>
      <c r="P242" s="44"/>
      <c r="Q242" s="44"/>
      <c r="R242" s="45">
        <f t="shared" si="44"/>
        <v>0</v>
      </c>
      <c r="S242" s="46"/>
    </row>
    <row r="243" spans="2:19" ht="15.75" x14ac:dyDescent="0.25">
      <c r="B243" s="72">
        <f t="shared" si="45"/>
        <v>19</v>
      </c>
      <c r="C243" s="72" t="s">
        <v>397</v>
      </c>
      <c r="D243" s="39" t="s">
        <v>398</v>
      </c>
      <c r="E243" s="40">
        <v>44377</v>
      </c>
      <c r="F243" s="41"/>
      <c r="G243" s="42">
        <v>10</v>
      </c>
      <c r="H243" s="43">
        <f t="shared" si="42"/>
        <v>0</v>
      </c>
      <c r="I243" s="41"/>
      <c r="J243" s="41"/>
      <c r="K243" s="41"/>
      <c r="L243" s="41"/>
      <c r="M243" s="41"/>
      <c r="N243" s="43">
        <f t="shared" si="43"/>
        <v>0</v>
      </c>
      <c r="O243" s="41"/>
      <c r="P243" s="44"/>
      <c r="Q243" s="44"/>
      <c r="R243" s="45">
        <f t="shared" si="44"/>
        <v>0</v>
      </c>
      <c r="S243" s="46"/>
    </row>
    <row r="244" spans="2:19" ht="15.75" x14ac:dyDescent="0.25">
      <c r="B244" s="72">
        <f t="shared" si="45"/>
        <v>20</v>
      </c>
      <c r="C244" s="72" t="s">
        <v>399</v>
      </c>
      <c r="D244" s="59" t="s">
        <v>400</v>
      </c>
      <c r="E244" s="40">
        <v>44377</v>
      </c>
      <c r="F244" s="82"/>
      <c r="G244" s="83">
        <v>10</v>
      </c>
      <c r="H244" s="84">
        <f t="shared" si="42"/>
        <v>0</v>
      </c>
      <c r="I244" s="82"/>
      <c r="J244" s="82"/>
      <c r="K244" s="82"/>
      <c r="L244" s="82"/>
      <c r="M244" s="82"/>
      <c r="N244" s="84">
        <f t="shared" si="43"/>
        <v>0</v>
      </c>
      <c r="O244" s="82"/>
      <c r="P244" s="85"/>
      <c r="Q244" s="85"/>
      <c r="R244" s="86">
        <f t="shared" si="44"/>
        <v>0</v>
      </c>
      <c r="S244" s="87"/>
    </row>
    <row r="245" spans="2:19" ht="15.75" x14ac:dyDescent="0.25">
      <c r="B245" s="72">
        <f t="shared" si="45"/>
        <v>21</v>
      </c>
      <c r="C245" s="72" t="s">
        <v>401</v>
      </c>
      <c r="D245" s="39" t="s">
        <v>402</v>
      </c>
      <c r="E245" s="40">
        <v>44377</v>
      </c>
      <c r="F245" s="41">
        <v>865.77919999999995</v>
      </c>
      <c r="G245" s="42">
        <v>10</v>
      </c>
      <c r="H245" s="43">
        <f>+F245/G245</f>
        <v>86.577919999999992</v>
      </c>
      <c r="I245" s="41">
        <v>627.83952499999998</v>
      </c>
      <c r="J245" s="41">
        <v>3973.223352</v>
      </c>
      <c r="K245" s="41">
        <v>1473.0142530000001</v>
      </c>
      <c r="L245" s="41">
        <v>113.286084</v>
      </c>
      <c r="M245" s="41">
        <v>-220.27910600000001</v>
      </c>
      <c r="N245" s="43">
        <f>+M245-O245</f>
        <v>-47.716021000000012</v>
      </c>
      <c r="O245" s="41">
        <v>-172.563085</v>
      </c>
      <c r="P245" s="44">
        <v>0</v>
      </c>
      <c r="Q245" s="44">
        <v>0</v>
      </c>
      <c r="R245" s="45">
        <f>SUM(P245:Q245)</f>
        <v>0</v>
      </c>
      <c r="S245" s="46">
        <v>2110</v>
      </c>
    </row>
    <row r="246" spans="2:19" ht="15.75" x14ac:dyDescent="0.25">
      <c r="B246" s="72">
        <f t="shared" si="45"/>
        <v>22</v>
      </c>
      <c r="C246" s="72" t="s">
        <v>403</v>
      </c>
      <c r="D246" s="39" t="s">
        <v>404</v>
      </c>
      <c r="E246" s="40">
        <v>44377</v>
      </c>
      <c r="F246" s="41">
        <v>119.7504</v>
      </c>
      <c r="G246" s="42">
        <v>10</v>
      </c>
      <c r="H246" s="43">
        <f t="shared" si="42"/>
        <v>11.97504</v>
      </c>
      <c r="I246" s="41">
        <v>16.944789</v>
      </c>
      <c r="J246" s="41">
        <v>20.231348000000001</v>
      </c>
      <c r="K246" s="41">
        <v>0</v>
      </c>
      <c r="L246" s="41">
        <v>1.1697000000000001E-2</v>
      </c>
      <c r="M246" s="41">
        <v>-2.977176</v>
      </c>
      <c r="N246" s="43">
        <f t="shared" si="43"/>
        <v>0</v>
      </c>
      <c r="O246" s="41">
        <v>-2.977176</v>
      </c>
      <c r="P246" s="44">
        <v>0</v>
      </c>
      <c r="Q246" s="44">
        <v>0</v>
      </c>
      <c r="R246" s="45">
        <f t="shared" si="44"/>
        <v>0</v>
      </c>
      <c r="S246" s="46">
        <v>494</v>
      </c>
    </row>
    <row r="247" spans="2:19" ht="15.75" x14ac:dyDescent="0.25">
      <c r="B247" s="72">
        <f t="shared" si="45"/>
        <v>23</v>
      </c>
      <c r="C247" s="72" t="s">
        <v>405</v>
      </c>
      <c r="D247" s="39" t="s">
        <v>406</v>
      </c>
      <c r="E247" s="40">
        <v>44377</v>
      </c>
      <c r="F247" s="41">
        <v>107</v>
      </c>
      <c r="G247" s="42">
        <v>10</v>
      </c>
      <c r="H247" s="43">
        <f t="shared" si="42"/>
        <v>10.7</v>
      </c>
      <c r="I247" s="41">
        <v>-44.935082000000001</v>
      </c>
      <c r="J247" s="41">
        <v>408.63231999999999</v>
      </c>
      <c r="K247" s="41">
        <v>3.30288</v>
      </c>
      <c r="L247" s="41">
        <v>2.477E-3</v>
      </c>
      <c r="M247" s="41">
        <v>3.9193959999999999</v>
      </c>
      <c r="N247" s="43">
        <f t="shared" si="43"/>
        <v>-11.744028</v>
      </c>
      <c r="O247" s="41">
        <v>15.663423999999999</v>
      </c>
      <c r="P247" s="44">
        <v>0</v>
      </c>
      <c r="Q247" s="44">
        <v>0</v>
      </c>
      <c r="R247" s="45">
        <f t="shared" si="44"/>
        <v>0</v>
      </c>
      <c r="S247" s="46">
        <v>1347</v>
      </c>
    </row>
    <row r="248" spans="2:19" ht="15.75" x14ac:dyDescent="0.25">
      <c r="B248" s="72">
        <f t="shared" si="45"/>
        <v>24</v>
      </c>
      <c r="C248" s="72" t="s">
        <v>407</v>
      </c>
      <c r="D248" s="39" t="s">
        <v>408</v>
      </c>
      <c r="E248" s="40">
        <v>44377</v>
      </c>
      <c r="F248" s="41">
        <v>121.23699999999999</v>
      </c>
      <c r="G248" s="42">
        <v>10</v>
      </c>
      <c r="H248" s="43">
        <f>+F248/G248</f>
        <v>12.123699999999999</v>
      </c>
      <c r="I248" s="41">
        <v>-95.999740000000003</v>
      </c>
      <c r="J248" s="41">
        <v>159.57534000000001</v>
      </c>
      <c r="K248" s="41">
        <v>0</v>
      </c>
      <c r="L248" s="41">
        <v>1.018E-3</v>
      </c>
      <c r="M248" s="41">
        <v>-18.186371999999999</v>
      </c>
      <c r="N248" s="43">
        <f>+M248-O248</f>
        <v>-3.5527269999999991</v>
      </c>
      <c r="O248" s="41">
        <v>-14.633645</v>
      </c>
      <c r="P248" s="44">
        <v>0</v>
      </c>
      <c r="Q248" s="44">
        <v>0</v>
      </c>
      <c r="R248" s="45">
        <f>SUM(P248:Q248)</f>
        <v>0</v>
      </c>
      <c r="S248" s="46">
        <v>479</v>
      </c>
    </row>
    <row r="249" spans="2:19" ht="15.75" x14ac:dyDescent="0.25">
      <c r="B249" s="72">
        <f t="shared" si="45"/>
        <v>25</v>
      </c>
      <c r="C249" s="72" t="s">
        <v>409</v>
      </c>
      <c r="D249" s="39" t="s">
        <v>410</v>
      </c>
      <c r="E249" s="40">
        <v>44377</v>
      </c>
      <c r="F249" s="41">
        <v>230</v>
      </c>
      <c r="G249" s="42">
        <v>10</v>
      </c>
      <c r="H249" s="43">
        <f t="shared" si="42"/>
        <v>23</v>
      </c>
      <c r="I249" s="41">
        <v>146.41665499999999</v>
      </c>
      <c r="J249" s="41">
        <v>381.57459299999999</v>
      </c>
      <c r="K249" s="41">
        <v>12.677303999999999</v>
      </c>
      <c r="L249" s="41">
        <v>2.9780000000000002E-3</v>
      </c>
      <c r="M249" s="41">
        <v>0.32215500000000002</v>
      </c>
      <c r="N249" s="43">
        <f t="shared" si="43"/>
        <v>-2.4340380000000001</v>
      </c>
      <c r="O249" s="41">
        <v>2.7561930000000001</v>
      </c>
      <c r="P249" s="44">
        <v>0</v>
      </c>
      <c r="Q249" s="44">
        <v>0</v>
      </c>
      <c r="R249" s="45">
        <f t="shared" si="44"/>
        <v>0</v>
      </c>
      <c r="S249" s="46">
        <v>877</v>
      </c>
    </row>
    <row r="250" spans="2:19" ht="15.75" x14ac:dyDescent="0.25">
      <c r="B250" s="72">
        <f t="shared" si="45"/>
        <v>26</v>
      </c>
      <c r="C250" s="72" t="s">
        <v>411</v>
      </c>
      <c r="D250" s="39" t="s">
        <v>412</v>
      </c>
      <c r="E250" s="40">
        <v>44377</v>
      </c>
      <c r="F250" s="41">
        <v>522.14400000000001</v>
      </c>
      <c r="G250" s="42">
        <v>10</v>
      </c>
      <c r="H250" s="43">
        <f>+F250/G250</f>
        <v>52.214399999999998</v>
      </c>
      <c r="I250" s="41">
        <v>672.13798699999995</v>
      </c>
      <c r="J250" s="41">
        <v>1017.555848</v>
      </c>
      <c r="K250" s="41">
        <v>184.86199999999999</v>
      </c>
      <c r="L250" s="41">
        <v>11.142352000000001</v>
      </c>
      <c r="M250" s="41">
        <v>-76.052808999999996</v>
      </c>
      <c r="N250" s="43">
        <f>+M250-O250</f>
        <v>-2.7566739999999896</v>
      </c>
      <c r="O250" s="41">
        <v>-73.296135000000007</v>
      </c>
      <c r="P250" s="44">
        <v>0</v>
      </c>
      <c r="Q250" s="44">
        <v>0</v>
      </c>
      <c r="R250" s="45">
        <f>SUM(P250:Q250)</f>
        <v>0</v>
      </c>
      <c r="S250" s="46">
        <v>968</v>
      </c>
    </row>
    <row r="251" spans="2:19" ht="15.75" x14ac:dyDescent="0.25">
      <c r="B251" s="72">
        <f t="shared" si="45"/>
        <v>27</v>
      </c>
      <c r="C251" s="72" t="s">
        <v>413</v>
      </c>
      <c r="D251" s="39" t="s">
        <v>414</v>
      </c>
      <c r="E251" s="40">
        <v>44377</v>
      </c>
      <c r="F251" s="41">
        <v>44.670360000000002</v>
      </c>
      <c r="G251" s="42">
        <v>10</v>
      </c>
      <c r="H251" s="43">
        <f>+F251/G251</f>
        <v>4.4670360000000002</v>
      </c>
      <c r="I251" s="41">
        <v>-379.61922900000002</v>
      </c>
      <c r="J251" s="41">
        <v>812.04445599999997</v>
      </c>
      <c r="K251" s="41">
        <v>0</v>
      </c>
      <c r="L251" s="41">
        <v>0</v>
      </c>
      <c r="M251" s="41">
        <v>-29.170593</v>
      </c>
      <c r="N251" s="43">
        <f>+M251-O251</f>
        <v>0</v>
      </c>
      <c r="O251" s="41">
        <v>-29.170593</v>
      </c>
      <c r="P251" s="44">
        <v>0</v>
      </c>
      <c r="Q251" s="44">
        <v>0</v>
      </c>
      <c r="R251" s="45">
        <f>SUM(P251:Q251)</f>
        <v>0</v>
      </c>
      <c r="S251" s="46">
        <v>745</v>
      </c>
    </row>
    <row r="252" spans="2:19" ht="15.75" x14ac:dyDescent="0.25">
      <c r="B252" s="72">
        <f t="shared" si="45"/>
        <v>28</v>
      </c>
      <c r="C252" s="72" t="s">
        <v>415</v>
      </c>
      <c r="D252" s="39" t="s">
        <v>416</v>
      </c>
      <c r="E252" s="40">
        <v>44377</v>
      </c>
      <c r="F252" s="41">
        <v>87.75</v>
      </c>
      <c r="G252" s="42">
        <v>10</v>
      </c>
      <c r="H252" s="43">
        <f>+F252/G252</f>
        <v>8.7750000000000004</v>
      </c>
      <c r="I252" s="41">
        <v>-1124.8929800000001</v>
      </c>
      <c r="J252" s="41">
        <v>1639.5374670000001</v>
      </c>
      <c r="K252" s="41">
        <v>0</v>
      </c>
      <c r="L252" s="41">
        <v>28.557348999999999</v>
      </c>
      <c r="M252" s="41">
        <v>-138.69154900000001</v>
      </c>
      <c r="N252" s="43">
        <f>+M252-O252</f>
        <v>-10.42397200000002</v>
      </c>
      <c r="O252" s="41">
        <v>-128.26757699999999</v>
      </c>
      <c r="P252" s="44">
        <v>0</v>
      </c>
      <c r="Q252" s="44">
        <v>0</v>
      </c>
      <c r="R252" s="45">
        <f>SUM(P252:Q252)</f>
        <v>0</v>
      </c>
      <c r="S252" s="46">
        <v>1509</v>
      </c>
    </row>
    <row r="253" spans="2:19" ht="15.75" x14ac:dyDescent="0.25">
      <c r="B253" s="32"/>
      <c r="C253" s="32"/>
      <c r="D253" s="32"/>
      <c r="E253" s="33"/>
      <c r="F253" s="32"/>
      <c r="G253" s="51"/>
      <c r="H253" s="57"/>
      <c r="I253" s="35"/>
      <c r="J253" s="35"/>
      <c r="K253" s="35"/>
      <c r="L253" s="35"/>
      <c r="M253" s="35"/>
      <c r="N253" s="58"/>
      <c r="O253" s="35"/>
      <c r="P253" s="35"/>
      <c r="Q253" s="35"/>
      <c r="R253" s="58"/>
      <c r="S253" s="35"/>
    </row>
    <row r="254" spans="2:19" ht="15.75" x14ac:dyDescent="0.25">
      <c r="B254" s="38">
        <f>COUNT(B187:B253)</f>
        <v>64</v>
      </c>
      <c r="C254" s="38"/>
      <c r="D254" s="60"/>
      <c r="E254" s="40"/>
      <c r="F254" s="60">
        <f>SUM(F187:F253)</f>
        <v>20918.219865000003</v>
      </c>
      <c r="G254" s="61"/>
      <c r="H254" s="62">
        <f t="shared" ref="H254:O254" si="46">SUM(H187:H253)</f>
        <v>2282.6805759999997</v>
      </c>
      <c r="I254" s="60">
        <f t="shared" si="46"/>
        <v>96385.038493999935</v>
      </c>
      <c r="J254" s="60">
        <f t="shared" si="46"/>
        <v>263548.41771500005</v>
      </c>
      <c r="K254" s="60">
        <f t="shared" si="46"/>
        <v>275751.85197599995</v>
      </c>
      <c r="L254" s="60">
        <f t="shared" si="46"/>
        <v>6984.4774460000008</v>
      </c>
      <c r="M254" s="60">
        <f t="shared" si="46"/>
        <v>23947.303125000002</v>
      </c>
      <c r="N254" s="63">
        <f t="shared" si="46"/>
        <v>4577.788074000001</v>
      </c>
      <c r="O254" s="60">
        <f t="shared" si="46"/>
        <v>19369.515050999998</v>
      </c>
      <c r="P254" s="64"/>
      <c r="Q254" s="64"/>
      <c r="R254" s="65"/>
      <c r="S254" s="66">
        <f>SUM(S187:S253)</f>
        <v>63039</v>
      </c>
    </row>
    <row r="255" spans="2:19" ht="15.75" x14ac:dyDescent="0.25">
      <c r="B255" s="32"/>
      <c r="C255" s="32"/>
      <c r="D255" s="32"/>
      <c r="E255" s="33"/>
      <c r="F255" s="32"/>
      <c r="G255" s="51"/>
      <c r="H255" s="57"/>
      <c r="I255" s="35"/>
      <c r="J255" s="35"/>
      <c r="K255" s="35"/>
      <c r="L255" s="35"/>
      <c r="M255" s="35"/>
      <c r="N255" s="58"/>
      <c r="O255" s="35"/>
      <c r="P255" s="35"/>
      <c r="Q255" s="35"/>
      <c r="R255" s="58"/>
      <c r="S255" s="35"/>
    </row>
    <row r="256" spans="2:19" ht="15.75" x14ac:dyDescent="0.25">
      <c r="B256" s="32"/>
      <c r="C256" s="32"/>
      <c r="D256" s="32"/>
      <c r="E256" s="33"/>
      <c r="F256" s="32"/>
      <c r="G256" s="51"/>
      <c r="H256" s="57"/>
      <c r="I256" s="35"/>
      <c r="J256" s="35"/>
      <c r="K256" s="35"/>
      <c r="L256" s="35"/>
      <c r="M256" s="35"/>
      <c r="N256" s="58"/>
      <c r="O256" s="35"/>
      <c r="P256" s="35"/>
      <c r="Q256" s="35"/>
      <c r="R256" s="58"/>
      <c r="S256" s="35"/>
    </row>
    <row r="257" spans="2:19" ht="18.75" x14ac:dyDescent="0.3">
      <c r="B257" s="32"/>
      <c r="C257" s="37">
        <v>9</v>
      </c>
      <c r="D257" s="37" t="s">
        <v>417</v>
      </c>
      <c r="E257" s="73"/>
      <c r="F257" s="74"/>
      <c r="G257" s="51"/>
      <c r="H257" s="57"/>
      <c r="I257" s="35"/>
      <c r="J257" s="35"/>
      <c r="K257" s="35"/>
      <c r="L257" s="35"/>
      <c r="M257" s="35"/>
      <c r="N257" s="58"/>
      <c r="O257" s="35"/>
      <c r="P257" s="35"/>
      <c r="Q257" s="35"/>
      <c r="R257" s="58"/>
      <c r="S257" s="35"/>
    </row>
    <row r="258" spans="2:19" ht="15.75" x14ac:dyDescent="0.25">
      <c r="B258" s="32"/>
      <c r="C258" s="32"/>
      <c r="D258" s="32"/>
      <c r="E258" s="33"/>
      <c r="F258" s="32"/>
      <c r="G258" s="51"/>
      <c r="H258" s="57"/>
      <c r="I258" s="35"/>
      <c r="J258" s="35"/>
      <c r="K258" s="35"/>
      <c r="L258" s="35"/>
      <c r="M258" s="35"/>
      <c r="N258" s="58"/>
      <c r="O258" s="35"/>
      <c r="P258" s="35"/>
      <c r="Q258" s="35"/>
      <c r="R258" s="58"/>
      <c r="S258" s="35"/>
    </row>
    <row r="259" spans="2:19" ht="15.75" x14ac:dyDescent="0.25">
      <c r="B259" s="72">
        <v>1</v>
      </c>
      <c r="C259" s="72" t="s">
        <v>418</v>
      </c>
      <c r="D259" s="39" t="s">
        <v>419</v>
      </c>
      <c r="E259" s="40">
        <v>44377</v>
      </c>
      <c r="F259" s="41">
        <v>384.83499999999998</v>
      </c>
      <c r="G259" s="42">
        <v>10</v>
      </c>
      <c r="H259" s="43">
        <f t="shared" ref="H259:H263" si="47">+F259/G259</f>
        <v>38.483499999999999</v>
      </c>
      <c r="I259" s="41">
        <v>989.36983999999995</v>
      </c>
      <c r="J259" s="41">
        <v>1226.0205599999999</v>
      </c>
      <c r="K259" s="41">
        <v>453.35209800000001</v>
      </c>
      <c r="L259" s="41">
        <v>8.0654000000000003E-2</v>
      </c>
      <c r="M259" s="41">
        <v>16.859829000000001</v>
      </c>
      <c r="N259" s="43">
        <f t="shared" ref="N259:N263" si="48">+M259-O259</f>
        <v>5.722487000000001</v>
      </c>
      <c r="O259" s="41">
        <v>11.137342</v>
      </c>
      <c r="P259" s="44">
        <v>0</v>
      </c>
      <c r="Q259" s="44">
        <v>10</v>
      </c>
      <c r="R259" s="45">
        <f t="shared" ref="R259:R263" si="49">SUM(P259:Q259)</f>
        <v>10</v>
      </c>
      <c r="S259" s="46">
        <v>521</v>
      </c>
    </row>
    <row r="260" spans="2:19" ht="15.75" x14ac:dyDescent="0.25">
      <c r="B260" s="72">
        <f>+B259+1</f>
        <v>2</v>
      </c>
      <c r="C260" s="72" t="s">
        <v>420</v>
      </c>
      <c r="D260" s="39" t="s">
        <v>421</v>
      </c>
      <c r="E260" s="40">
        <v>44377</v>
      </c>
      <c r="F260" s="41">
        <v>184.8</v>
      </c>
      <c r="G260" s="42">
        <v>10</v>
      </c>
      <c r="H260" s="43">
        <f t="shared" si="47"/>
        <v>18.48</v>
      </c>
      <c r="I260" s="41">
        <v>1746.678433</v>
      </c>
      <c r="J260" s="41">
        <v>4541.7289860000001</v>
      </c>
      <c r="K260" s="41">
        <v>8150.5671890000003</v>
      </c>
      <c r="L260" s="41">
        <v>89.035940999999994</v>
      </c>
      <c r="M260" s="41">
        <v>814.53892699999994</v>
      </c>
      <c r="N260" s="43">
        <f t="shared" si="48"/>
        <v>172.96217299999989</v>
      </c>
      <c r="O260" s="41">
        <v>641.57675400000005</v>
      </c>
      <c r="P260" s="44">
        <f>75+25</f>
        <v>100</v>
      </c>
      <c r="Q260" s="44">
        <v>0</v>
      </c>
      <c r="R260" s="45">
        <f t="shared" si="49"/>
        <v>100</v>
      </c>
      <c r="S260" s="46">
        <v>545</v>
      </c>
    </row>
    <row r="261" spans="2:19" ht="15.75" x14ac:dyDescent="0.25">
      <c r="B261" s="72">
        <f>+B260+1</f>
        <v>3</v>
      </c>
      <c r="C261" s="72" t="s">
        <v>422</v>
      </c>
      <c r="D261" s="39" t="s">
        <v>423</v>
      </c>
      <c r="E261" s="40">
        <v>44377</v>
      </c>
      <c r="F261" s="41">
        <v>96.6</v>
      </c>
      <c r="G261" s="42">
        <v>10</v>
      </c>
      <c r="H261" s="43">
        <f t="shared" si="47"/>
        <v>9.66</v>
      </c>
      <c r="I261" s="41">
        <v>1583.4174</v>
      </c>
      <c r="J261" s="41">
        <v>3360.7305139999999</v>
      </c>
      <c r="K261" s="41">
        <v>4937.4937229999996</v>
      </c>
      <c r="L261" s="41">
        <v>47.410739999999997</v>
      </c>
      <c r="M261" s="41">
        <v>287.54112600000002</v>
      </c>
      <c r="N261" s="43">
        <f t="shared" si="48"/>
        <v>70.581748000000033</v>
      </c>
      <c r="O261" s="41">
        <v>216.95937799999999</v>
      </c>
      <c r="P261" s="44">
        <v>115</v>
      </c>
      <c r="Q261" s="44">
        <v>0</v>
      </c>
      <c r="R261" s="45">
        <f t="shared" si="49"/>
        <v>115</v>
      </c>
      <c r="S261" s="46">
        <v>1127</v>
      </c>
    </row>
    <row r="262" spans="2:19" ht="15.75" x14ac:dyDescent="0.25">
      <c r="B262" s="72">
        <f t="shared" ref="B262:B263" si="50">+B261+1</f>
        <v>4</v>
      </c>
      <c r="C262" s="72" t="s">
        <v>424</v>
      </c>
      <c r="D262" s="39" t="s">
        <v>425</v>
      </c>
      <c r="E262" s="40">
        <v>44377</v>
      </c>
      <c r="F262" s="41">
        <v>900</v>
      </c>
      <c r="G262" s="42">
        <v>10</v>
      </c>
      <c r="H262" s="43">
        <f>+F262/G262</f>
        <v>90</v>
      </c>
      <c r="I262" s="41">
        <v>-48.553553999999998</v>
      </c>
      <c r="J262" s="41">
        <v>1153.8966640000001</v>
      </c>
      <c r="K262" s="41">
        <v>723.25267899999994</v>
      </c>
      <c r="L262" s="41">
        <v>2.1076739999999998</v>
      </c>
      <c r="M262" s="41">
        <v>28.092321999999999</v>
      </c>
      <c r="N262" s="43">
        <f>+M262-O262</f>
        <v>10.912786999999998</v>
      </c>
      <c r="O262" s="41">
        <v>17.179535000000001</v>
      </c>
      <c r="P262" s="44">
        <v>0</v>
      </c>
      <c r="Q262" s="44">
        <v>0</v>
      </c>
      <c r="R262" s="45">
        <f>SUM(P262:Q262)</f>
        <v>0</v>
      </c>
      <c r="S262" s="46">
        <v>1865</v>
      </c>
    </row>
    <row r="263" spans="2:19" ht="15.75" x14ac:dyDescent="0.25">
      <c r="B263" s="72">
        <f t="shared" si="50"/>
        <v>5</v>
      </c>
      <c r="C263" s="72" t="s">
        <v>426</v>
      </c>
      <c r="D263" s="39" t="s">
        <v>427</v>
      </c>
      <c r="E263" s="40">
        <v>44377</v>
      </c>
      <c r="F263" s="41">
        <v>594.28728999999998</v>
      </c>
      <c r="G263" s="42">
        <v>10</v>
      </c>
      <c r="H263" s="43">
        <f t="shared" si="47"/>
        <v>59.428728999999997</v>
      </c>
      <c r="I263" s="41">
        <v>1911.0383890000001</v>
      </c>
      <c r="J263" s="41">
        <v>5201.061326</v>
      </c>
      <c r="K263" s="41">
        <v>6128.8879010000001</v>
      </c>
      <c r="L263" s="41">
        <v>111.99254500000001</v>
      </c>
      <c r="M263" s="41">
        <v>360.96888799999999</v>
      </c>
      <c r="N263" s="43">
        <f t="shared" si="48"/>
        <v>58.891983999999979</v>
      </c>
      <c r="O263" s="41">
        <v>302.07690400000001</v>
      </c>
      <c r="P263" s="44">
        <v>5</v>
      </c>
      <c r="Q263" s="44">
        <v>0</v>
      </c>
      <c r="R263" s="45">
        <f t="shared" si="49"/>
        <v>5</v>
      </c>
      <c r="S263" s="46">
        <v>484</v>
      </c>
    </row>
    <row r="264" spans="2:19" ht="15.75" x14ac:dyDescent="0.25">
      <c r="B264" s="32"/>
      <c r="C264" s="32"/>
      <c r="D264" s="32"/>
      <c r="E264" s="33"/>
      <c r="F264" s="32"/>
      <c r="G264" s="51"/>
      <c r="H264" s="57"/>
      <c r="I264" s="35"/>
      <c r="J264" s="35"/>
      <c r="K264" s="35"/>
      <c r="L264" s="35"/>
      <c r="M264" s="35"/>
      <c r="N264" s="58"/>
      <c r="O264" s="35"/>
      <c r="P264" s="35"/>
      <c r="Q264" s="35"/>
      <c r="R264" s="58"/>
      <c r="S264" s="35"/>
    </row>
    <row r="265" spans="2:19" ht="18.75" x14ac:dyDescent="0.3">
      <c r="B265" s="32"/>
      <c r="C265" s="32"/>
      <c r="D265" s="68" t="s">
        <v>41</v>
      </c>
      <c r="E265" s="33"/>
      <c r="F265" s="32"/>
      <c r="G265" s="51"/>
      <c r="H265" s="57"/>
      <c r="I265" s="35"/>
      <c r="J265" s="35"/>
      <c r="K265" s="35"/>
      <c r="L265" s="35"/>
      <c r="M265" s="35"/>
      <c r="N265" s="58"/>
      <c r="O265" s="35"/>
      <c r="P265" s="35"/>
      <c r="Q265" s="35"/>
      <c r="R265" s="58"/>
      <c r="S265" s="35"/>
    </row>
    <row r="266" spans="2:19" ht="15.75" x14ac:dyDescent="0.25">
      <c r="B266" s="72">
        <v>1</v>
      </c>
      <c r="C266" s="72" t="s">
        <v>428</v>
      </c>
      <c r="D266" s="39" t="s">
        <v>429</v>
      </c>
      <c r="E266" s="40">
        <v>44469</v>
      </c>
      <c r="F266" s="41"/>
      <c r="G266" s="42">
        <v>10</v>
      </c>
      <c r="H266" s="43">
        <f t="shared" ref="H266:H269" si="51">+F266/G266</f>
        <v>0</v>
      </c>
      <c r="I266" s="41"/>
      <c r="J266" s="41"/>
      <c r="K266" s="41"/>
      <c r="L266" s="41"/>
      <c r="M266" s="41"/>
      <c r="N266" s="43">
        <f t="shared" ref="N266:N269" si="52">+M266-O266</f>
        <v>0</v>
      </c>
      <c r="O266" s="41"/>
      <c r="P266" s="44"/>
      <c r="Q266" s="44"/>
      <c r="R266" s="45">
        <f t="shared" ref="R266:R269" si="53">SUM(P266:Q266)</f>
        <v>0</v>
      </c>
      <c r="S266" s="46"/>
    </row>
    <row r="267" spans="2:19" ht="15.75" x14ac:dyDescent="0.25">
      <c r="B267" s="72">
        <f t="shared" ref="B267:B270" si="54">+B266+1</f>
        <v>2</v>
      </c>
      <c r="C267" s="72" t="s">
        <v>430</v>
      </c>
      <c r="D267" s="39" t="s">
        <v>431</v>
      </c>
      <c r="E267" s="40">
        <v>44377</v>
      </c>
      <c r="F267" s="41">
        <v>300.01119999999997</v>
      </c>
      <c r="G267" s="42">
        <v>10</v>
      </c>
      <c r="H267" s="43">
        <f>+F267/G267</f>
        <v>30.001119999999997</v>
      </c>
      <c r="I267" s="41">
        <v>107.87889699999999</v>
      </c>
      <c r="J267" s="41">
        <v>1067.899625</v>
      </c>
      <c r="K267" s="41">
        <v>9.9870699999999992</v>
      </c>
      <c r="L267" s="41">
        <v>60.975448999999998</v>
      </c>
      <c r="M267" s="41">
        <v>-36.214984000000001</v>
      </c>
      <c r="N267" s="43">
        <f>+M267-O267</f>
        <v>2.7101490000000013</v>
      </c>
      <c r="O267" s="41">
        <v>-38.925133000000002</v>
      </c>
      <c r="P267" s="44">
        <v>0</v>
      </c>
      <c r="Q267" s="44">
        <v>0</v>
      </c>
      <c r="R267" s="45">
        <f>SUM(P267:Q267)</f>
        <v>0</v>
      </c>
      <c r="S267" s="46">
        <v>1530</v>
      </c>
    </row>
    <row r="268" spans="2:19" ht="15.75" x14ac:dyDescent="0.25">
      <c r="B268" s="72">
        <f t="shared" si="54"/>
        <v>3</v>
      </c>
      <c r="C268" s="72" t="s">
        <v>432</v>
      </c>
      <c r="D268" s="39" t="s">
        <v>433</v>
      </c>
      <c r="E268" s="40">
        <v>44469</v>
      </c>
      <c r="F268" s="41"/>
      <c r="G268" s="42">
        <v>10</v>
      </c>
      <c r="H268" s="43">
        <f t="shared" si="51"/>
        <v>0</v>
      </c>
      <c r="I268" s="41"/>
      <c r="J268" s="41"/>
      <c r="K268" s="41"/>
      <c r="L268" s="41"/>
      <c r="M268" s="41"/>
      <c r="N268" s="43">
        <f t="shared" si="52"/>
        <v>0</v>
      </c>
      <c r="O268" s="41"/>
      <c r="P268" s="44"/>
      <c r="Q268" s="44"/>
      <c r="R268" s="45">
        <f t="shared" si="53"/>
        <v>0</v>
      </c>
      <c r="S268" s="46"/>
    </row>
    <row r="269" spans="2:19" ht="15.75" x14ac:dyDescent="0.25">
      <c r="B269" s="72">
        <f t="shared" si="54"/>
        <v>4</v>
      </c>
      <c r="C269" s="72" t="s">
        <v>434</v>
      </c>
      <c r="D269" s="39" t="s">
        <v>435</v>
      </c>
      <c r="E269" s="40">
        <v>44469</v>
      </c>
      <c r="F269" s="41"/>
      <c r="G269" s="42">
        <v>10</v>
      </c>
      <c r="H269" s="43">
        <f t="shared" si="51"/>
        <v>0</v>
      </c>
      <c r="I269" s="41"/>
      <c r="J269" s="41"/>
      <c r="K269" s="41"/>
      <c r="L269" s="41"/>
      <c r="M269" s="41"/>
      <c r="N269" s="43">
        <f t="shared" si="52"/>
        <v>0</v>
      </c>
      <c r="O269" s="41"/>
      <c r="P269" s="44"/>
      <c r="Q269" s="44"/>
      <c r="R269" s="45">
        <f t="shared" si="53"/>
        <v>0</v>
      </c>
      <c r="S269" s="46"/>
    </row>
    <row r="270" spans="2:19" ht="15.75" x14ac:dyDescent="0.25">
      <c r="B270" s="72">
        <f t="shared" si="54"/>
        <v>5</v>
      </c>
      <c r="C270" s="72" t="s">
        <v>436</v>
      </c>
      <c r="D270" s="39" t="s">
        <v>437</v>
      </c>
      <c r="E270" s="40">
        <v>44377</v>
      </c>
      <c r="F270" s="41">
        <v>267.27999999999997</v>
      </c>
      <c r="G270" s="42">
        <v>10</v>
      </c>
      <c r="H270" s="43">
        <f>+F270/G270</f>
        <v>26.727999999999998</v>
      </c>
      <c r="I270" s="41">
        <v>42.668788999999997</v>
      </c>
      <c r="J270" s="41">
        <v>83.408051999999998</v>
      </c>
      <c r="K270" s="41">
        <v>0</v>
      </c>
      <c r="L270" s="41">
        <v>5.7783889999999998</v>
      </c>
      <c r="M270" s="41">
        <v>-18.694761</v>
      </c>
      <c r="N270" s="43">
        <f>+M270-O270</f>
        <v>0</v>
      </c>
      <c r="O270" s="41">
        <v>-18.694761</v>
      </c>
      <c r="P270" s="44">
        <v>0</v>
      </c>
      <c r="Q270" s="44">
        <v>0</v>
      </c>
      <c r="R270" s="45">
        <f>SUM(P270:Q270)</f>
        <v>0</v>
      </c>
      <c r="S270" s="46">
        <v>604</v>
      </c>
    </row>
    <row r="271" spans="2:19" ht="15.75" x14ac:dyDescent="0.25">
      <c r="B271" s="32"/>
      <c r="C271" s="32"/>
      <c r="D271" s="32"/>
      <c r="E271" s="33"/>
      <c r="F271" s="32"/>
      <c r="G271" s="51"/>
      <c r="H271" s="57"/>
      <c r="I271" s="35"/>
      <c r="J271" s="35"/>
      <c r="K271" s="35"/>
      <c r="L271" s="35"/>
      <c r="M271" s="35"/>
      <c r="N271" s="58"/>
      <c r="O271" s="35"/>
      <c r="P271" s="35"/>
      <c r="Q271" s="35"/>
      <c r="R271" s="58"/>
      <c r="S271" s="35"/>
    </row>
    <row r="272" spans="2:19" ht="15.75" x14ac:dyDescent="0.25">
      <c r="B272" s="38">
        <f>COUNT(B259:B271)</f>
        <v>10</v>
      </c>
      <c r="C272" s="38"/>
      <c r="D272" s="60"/>
      <c r="E272" s="40"/>
      <c r="F272" s="60">
        <f>SUM(F259:F271)</f>
        <v>2727.8134899999995</v>
      </c>
      <c r="G272" s="61"/>
      <c r="H272" s="62">
        <f t="shared" ref="H272:O272" si="55">SUM(H259:H271)</f>
        <v>272.78134899999998</v>
      </c>
      <c r="I272" s="60">
        <f t="shared" si="55"/>
        <v>6332.4981939999998</v>
      </c>
      <c r="J272" s="60">
        <f t="shared" si="55"/>
        <v>16634.745727000001</v>
      </c>
      <c r="K272" s="60">
        <f t="shared" si="55"/>
        <v>20403.540659999999</v>
      </c>
      <c r="L272" s="60">
        <f t="shared" si="55"/>
        <v>317.38139200000001</v>
      </c>
      <c r="M272" s="60">
        <f t="shared" si="55"/>
        <v>1453.091347</v>
      </c>
      <c r="N272" s="63">
        <f t="shared" si="55"/>
        <v>321.78132799999992</v>
      </c>
      <c r="O272" s="60">
        <f t="shared" si="55"/>
        <v>1131.310019</v>
      </c>
      <c r="P272" s="64"/>
      <c r="Q272" s="64"/>
      <c r="R272" s="65"/>
      <c r="S272" s="66">
        <f>SUM(S259:S271)</f>
        <v>6676</v>
      </c>
    </row>
    <row r="273" spans="2:19" ht="15.75" x14ac:dyDescent="0.25">
      <c r="B273" s="32"/>
      <c r="C273" s="32"/>
      <c r="D273" s="32"/>
      <c r="E273" s="33"/>
      <c r="F273" s="32"/>
      <c r="G273" s="51"/>
      <c r="H273" s="57"/>
      <c r="I273" s="35"/>
      <c r="J273" s="35"/>
      <c r="K273" s="35"/>
      <c r="L273" s="35"/>
      <c r="M273" s="35"/>
      <c r="N273" s="58"/>
      <c r="O273" s="35"/>
      <c r="P273" s="35"/>
      <c r="Q273" s="35"/>
      <c r="R273" s="58"/>
      <c r="S273" s="35"/>
    </row>
    <row r="274" spans="2:19" ht="15.75" x14ac:dyDescent="0.25">
      <c r="B274" s="32"/>
      <c r="C274" s="32"/>
      <c r="D274" s="32"/>
      <c r="E274" s="33"/>
      <c r="F274" s="32"/>
      <c r="G274" s="51"/>
      <c r="H274" s="57"/>
      <c r="I274" s="35"/>
      <c r="J274" s="35"/>
      <c r="K274" s="35"/>
      <c r="L274" s="35"/>
      <c r="M274" s="35"/>
      <c r="N274" s="58"/>
      <c r="O274" s="35"/>
      <c r="P274" s="35"/>
      <c r="Q274" s="35"/>
      <c r="R274" s="58"/>
      <c r="S274" s="35"/>
    </row>
    <row r="275" spans="2:19" ht="18.75" x14ac:dyDescent="0.3">
      <c r="B275" s="32"/>
      <c r="C275" s="37">
        <v>10</v>
      </c>
      <c r="D275" s="37" t="s">
        <v>438</v>
      </c>
      <c r="E275" s="73"/>
      <c r="F275" s="74"/>
      <c r="G275" s="51"/>
      <c r="H275" s="57"/>
      <c r="I275" s="35"/>
      <c r="J275" s="35"/>
      <c r="K275" s="35"/>
      <c r="L275" s="35"/>
      <c r="M275" s="35"/>
      <c r="N275" s="58"/>
      <c r="O275" s="35"/>
      <c r="P275" s="35"/>
      <c r="Q275" s="35"/>
      <c r="R275" s="58"/>
      <c r="S275" s="35"/>
    </row>
    <row r="276" spans="2:19" ht="15.75" x14ac:dyDescent="0.25">
      <c r="B276" s="32"/>
      <c r="C276" s="32"/>
      <c r="D276" s="32"/>
      <c r="E276" s="33"/>
      <c r="F276" s="32"/>
      <c r="G276" s="51"/>
      <c r="H276" s="57"/>
      <c r="I276" s="35"/>
      <c r="J276" s="35"/>
      <c r="K276" s="35"/>
      <c r="L276" s="35"/>
      <c r="M276" s="35"/>
      <c r="N276" s="58"/>
      <c r="O276" s="35"/>
      <c r="P276" s="35"/>
      <c r="Q276" s="35"/>
      <c r="R276" s="58"/>
      <c r="S276" s="35"/>
    </row>
    <row r="277" spans="2:19" ht="15.75" x14ac:dyDescent="0.25">
      <c r="B277" s="72">
        <v>1</v>
      </c>
      <c r="C277" s="72" t="s">
        <v>439</v>
      </c>
      <c r="D277" s="39" t="s">
        <v>440</v>
      </c>
      <c r="E277" s="40">
        <v>44377</v>
      </c>
      <c r="F277" s="41">
        <v>840</v>
      </c>
      <c r="G277" s="42">
        <v>10</v>
      </c>
      <c r="H277" s="43">
        <f t="shared" ref="H277:H311" si="56">+F277/G277</f>
        <v>84</v>
      </c>
      <c r="I277" s="41">
        <v>6727.518</v>
      </c>
      <c r="J277" s="41">
        <v>17546.478999999999</v>
      </c>
      <c r="K277" s="41">
        <v>9813.1759999999995</v>
      </c>
      <c r="L277" s="41">
        <v>221.68899999999999</v>
      </c>
      <c r="M277" s="41">
        <v>456.35599999999999</v>
      </c>
      <c r="N277" s="43">
        <f t="shared" ref="N277:N311" si="57">+M277-O277</f>
        <v>102.45400000000001</v>
      </c>
      <c r="O277" s="41">
        <v>353.90199999999999</v>
      </c>
      <c r="P277" s="44">
        <v>20</v>
      </c>
      <c r="Q277" s="44">
        <v>0</v>
      </c>
      <c r="R277" s="45">
        <f t="shared" ref="R277:R311" si="58">SUM(P277:Q277)</f>
        <v>20</v>
      </c>
      <c r="S277" s="46">
        <v>1037</v>
      </c>
    </row>
    <row r="278" spans="2:19" ht="15.75" x14ac:dyDescent="0.25">
      <c r="B278" s="72">
        <f>+B277+1</f>
        <v>2</v>
      </c>
      <c r="C278" s="72" t="s">
        <v>441</v>
      </c>
      <c r="D278" s="39" t="s">
        <v>442</v>
      </c>
      <c r="E278" s="40">
        <v>44377</v>
      </c>
      <c r="F278" s="41">
        <v>84.715357999999995</v>
      </c>
      <c r="G278" s="42">
        <v>10</v>
      </c>
      <c r="H278" s="43">
        <f t="shared" si="56"/>
        <v>8.4715357999999998</v>
      </c>
      <c r="I278" s="41">
        <v>1321.687156</v>
      </c>
      <c r="J278" s="41">
        <v>2777.0760380000002</v>
      </c>
      <c r="K278" s="41">
        <v>3816.376706</v>
      </c>
      <c r="L278" s="41">
        <v>26.706087</v>
      </c>
      <c r="M278" s="41">
        <v>212.710632</v>
      </c>
      <c r="N278" s="43">
        <f t="shared" si="57"/>
        <v>44.923647000000017</v>
      </c>
      <c r="O278" s="41">
        <v>167.78698499999999</v>
      </c>
      <c r="P278" s="44">
        <v>20.5</v>
      </c>
      <c r="Q278" s="44">
        <v>0</v>
      </c>
      <c r="R278" s="45">
        <f t="shared" si="58"/>
        <v>20.5</v>
      </c>
      <c r="S278" s="46">
        <v>681</v>
      </c>
    </row>
    <row r="279" spans="2:19" ht="15.75" x14ac:dyDescent="0.25">
      <c r="B279" s="72">
        <f t="shared" ref="B279:B311" si="59">+B278+1</f>
        <v>3</v>
      </c>
      <c r="C279" s="72" t="s">
        <v>443</v>
      </c>
      <c r="D279" s="39" t="s">
        <v>444</v>
      </c>
      <c r="E279" s="40">
        <v>44377</v>
      </c>
      <c r="F279" s="41">
        <v>4854.0973100000001</v>
      </c>
      <c r="G279" s="42">
        <v>10</v>
      </c>
      <c r="H279" s="43">
        <f t="shared" si="56"/>
        <v>485.40973100000002</v>
      </c>
      <c r="I279" s="41">
        <v>7994.6770290000004</v>
      </c>
      <c r="J279" s="41">
        <v>22628.100470000001</v>
      </c>
      <c r="K279" s="41">
        <v>22070.230673999999</v>
      </c>
      <c r="L279" s="41">
        <v>908.23175700000002</v>
      </c>
      <c r="M279" s="41">
        <v>7773.2289000000001</v>
      </c>
      <c r="N279" s="43">
        <f t="shared" si="57"/>
        <v>213.82882299999983</v>
      </c>
      <c r="O279" s="41">
        <v>7559.4000770000002</v>
      </c>
      <c r="P279" s="44">
        <v>0</v>
      </c>
      <c r="Q279" s="44">
        <v>0</v>
      </c>
      <c r="R279" s="45">
        <f t="shared" si="58"/>
        <v>0</v>
      </c>
      <c r="S279" s="46">
        <v>3552</v>
      </c>
    </row>
    <row r="280" spans="2:19" ht="15.75" x14ac:dyDescent="0.25">
      <c r="B280" s="72">
        <f t="shared" si="59"/>
        <v>4</v>
      </c>
      <c r="C280" s="72" t="s">
        <v>445</v>
      </c>
      <c r="D280" s="39" t="s">
        <v>446</v>
      </c>
      <c r="E280" s="40">
        <v>44377</v>
      </c>
      <c r="F280" s="41">
        <v>96.6</v>
      </c>
      <c r="G280" s="42">
        <v>10</v>
      </c>
      <c r="H280" s="43">
        <f t="shared" si="56"/>
        <v>9.66</v>
      </c>
      <c r="I280" s="41">
        <v>840.94200000000001</v>
      </c>
      <c r="J280" s="41">
        <v>1977.7180000000001</v>
      </c>
      <c r="K280" s="41">
        <v>2096.6529999999998</v>
      </c>
      <c r="L280" s="41">
        <v>35.911999999999999</v>
      </c>
      <c r="M280" s="41">
        <v>239.024</v>
      </c>
      <c r="N280" s="43">
        <f t="shared" si="57"/>
        <v>119.529</v>
      </c>
      <c r="O280" s="41">
        <v>119.495</v>
      </c>
      <c r="P280" s="44">
        <v>7</v>
      </c>
      <c r="Q280" s="44">
        <v>0</v>
      </c>
      <c r="R280" s="45">
        <f t="shared" si="58"/>
        <v>7</v>
      </c>
      <c r="S280" s="46">
        <v>996</v>
      </c>
    </row>
    <row r="281" spans="2:19" ht="15.75" x14ac:dyDescent="0.25">
      <c r="B281" s="72">
        <f t="shared" si="59"/>
        <v>5</v>
      </c>
      <c r="C281" s="72" t="s">
        <v>447</v>
      </c>
      <c r="D281" s="39" t="s">
        <v>448</v>
      </c>
      <c r="E281" s="40">
        <v>44377</v>
      </c>
      <c r="F281" s="41">
        <v>104.5789</v>
      </c>
      <c r="G281" s="42">
        <v>10</v>
      </c>
      <c r="H281" s="43">
        <f t="shared" si="56"/>
        <v>10.457890000000001</v>
      </c>
      <c r="I281" s="41">
        <v>405.23365100000001</v>
      </c>
      <c r="J281" s="41">
        <v>1252.0243250000001</v>
      </c>
      <c r="K281" s="41">
        <v>1391.626358</v>
      </c>
      <c r="L281" s="41">
        <v>35.194405000000003</v>
      </c>
      <c r="M281" s="41">
        <v>34.610171000000001</v>
      </c>
      <c r="N281" s="43">
        <f t="shared" si="57"/>
        <v>21.280584000000001</v>
      </c>
      <c r="O281" s="41">
        <v>13.329587</v>
      </c>
      <c r="P281" s="44">
        <v>0</v>
      </c>
      <c r="Q281" s="44">
        <v>0</v>
      </c>
      <c r="R281" s="45">
        <f t="shared" si="58"/>
        <v>0</v>
      </c>
      <c r="S281" s="46">
        <v>610</v>
      </c>
    </row>
    <row r="282" spans="2:19" ht="15.75" x14ac:dyDescent="0.25">
      <c r="B282" s="72">
        <f t="shared" si="59"/>
        <v>6</v>
      </c>
      <c r="C282" s="72" t="s">
        <v>449</v>
      </c>
      <c r="D282" s="39" t="s">
        <v>450</v>
      </c>
      <c r="E282" s="40">
        <v>44377</v>
      </c>
      <c r="F282" s="41">
        <v>30</v>
      </c>
      <c r="G282" s="42">
        <v>10</v>
      </c>
      <c r="H282" s="43">
        <f t="shared" si="56"/>
        <v>3</v>
      </c>
      <c r="I282" s="41">
        <v>6763.0637699999997</v>
      </c>
      <c r="J282" s="41">
        <v>9493.3461599999991</v>
      </c>
      <c r="K282" s="41">
        <v>12158.113068000001</v>
      </c>
      <c r="L282" s="41">
        <v>94.080941999999993</v>
      </c>
      <c r="M282" s="41">
        <v>2160.9788239999998</v>
      </c>
      <c r="N282" s="43">
        <f t="shared" si="57"/>
        <v>310.27262099999984</v>
      </c>
      <c r="O282" s="41">
        <v>1850.706203</v>
      </c>
      <c r="P282" s="44">
        <v>715</v>
      </c>
      <c r="Q282" s="44">
        <v>0</v>
      </c>
      <c r="R282" s="45">
        <f t="shared" si="58"/>
        <v>715</v>
      </c>
      <c r="S282" s="46">
        <v>371</v>
      </c>
    </row>
    <row r="283" spans="2:19" ht="15.75" x14ac:dyDescent="0.25">
      <c r="B283" s="72">
        <f t="shared" si="59"/>
        <v>7</v>
      </c>
      <c r="C283" s="72" t="s">
        <v>451</v>
      </c>
      <c r="D283" s="39" t="s">
        <v>452</v>
      </c>
      <c r="E283" s="40">
        <v>44377</v>
      </c>
      <c r="F283" s="41">
        <v>64.319999999999993</v>
      </c>
      <c r="G283" s="42">
        <v>10</v>
      </c>
      <c r="H283" s="43">
        <f t="shared" si="56"/>
        <v>6.4319999999999995</v>
      </c>
      <c r="I283" s="41">
        <v>6024.706271</v>
      </c>
      <c r="J283" s="41">
        <v>10020.729137</v>
      </c>
      <c r="K283" s="41">
        <v>15430.56738</v>
      </c>
      <c r="L283" s="41">
        <v>224.785156</v>
      </c>
      <c r="M283" s="41">
        <v>2441.7106439999998</v>
      </c>
      <c r="N283" s="43">
        <f t="shared" si="57"/>
        <v>296.40946799999983</v>
      </c>
      <c r="O283" s="41">
        <v>2145.3011759999999</v>
      </c>
      <c r="P283" s="44">
        <v>330</v>
      </c>
      <c r="Q283" s="44">
        <v>0</v>
      </c>
      <c r="R283" s="45">
        <f t="shared" si="58"/>
        <v>330</v>
      </c>
      <c r="S283" s="46">
        <v>642</v>
      </c>
    </row>
    <row r="284" spans="2:19" ht="15.75" x14ac:dyDescent="0.25">
      <c r="B284" s="72">
        <f t="shared" si="59"/>
        <v>8</v>
      </c>
      <c r="C284" s="72" t="s">
        <v>453</v>
      </c>
      <c r="D284" s="39" t="s">
        <v>454</v>
      </c>
      <c r="E284" s="40">
        <v>44377</v>
      </c>
      <c r="F284" s="41">
        <v>800</v>
      </c>
      <c r="G284" s="42">
        <v>10</v>
      </c>
      <c r="H284" s="43">
        <f t="shared" si="56"/>
        <v>80</v>
      </c>
      <c r="I284" s="41">
        <v>9874.5460000000003</v>
      </c>
      <c r="J284" s="41">
        <v>20264.471000000001</v>
      </c>
      <c r="K284" s="41">
        <v>17817.752</v>
      </c>
      <c r="L284" s="41">
        <v>452.22899999999998</v>
      </c>
      <c r="M284" s="41">
        <v>810.17700000000002</v>
      </c>
      <c r="N284" s="43">
        <f t="shared" si="57"/>
        <v>294.52700000000004</v>
      </c>
      <c r="O284" s="41">
        <v>515.65</v>
      </c>
      <c r="P284" s="44">
        <v>0</v>
      </c>
      <c r="Q284" s="44">
        <v>0</v>
      </c>
      <c r="R284" s="45">
        <f t="shared" si="58"/>
        <v>0</v>
      </c>
      <c r="S284" s="46">
        <v>2982</v>
      </c>
    </row>
    <row r="285" spans="2:19" ht="15.75" x14ac:dyDescent="0.25">
      <c r="B285" s="72">
        <f t="shared" si="59"/>
        <v>9</v>
      </c>
      <c r="C285" s="72" t="s">
        <v>455</v>
      </c>
      <c r="D285" s="39" t="s">
        <v>456</v>
      </c>
      <c r="E285" s="40">
        <v>44377</v>
      </c>
      <c r="F285" s="41">
        <v>100</v>
      </c>
      <c r="G285" s="42">
        <v>10</v>
      </c>
      <c r="H285" s="43">
        <f t="shared" si="56"/>
        <v>10</v>
      </c>
      <c r="I285" s="41">
        <v>8753.5418669999999</v>
      </c>
      <c r="J285" s="41">
        <v>18033.876792999999</v>
      </c>
      <c r="K285" s="41">
        <v>17065.185921</v>
      </c>
      <c r="L285" s="41">
        <v>310.76940200000001</v>
      </c>
      <c r="M285" s="41">
        <v>2540.3069829999999</v>
      </c>
      <c r="N285" s="43">
        <f t="shared" si="57"/>
        <v>180.97502899999972</v>
      </c>
      <c r="O285" s="41">
        <v>2359.3319540000002</v>
      </c>
      <c r="P285" s="44">
        <v>214.5</v>
      </c>
      <c r="Q285" s="44">
        <v>0</v>
      </c>
      <c r="R285" s="45">
        <f t="shared" si="58"/>
        <v>214.5</v>
      </c>
      <c r="S285" s="46">
        <v>797</v>
      </c>
    </row>
    <row r="286" spans="2:19" ht="15.75" x14ac:dyDescent="0.25">
      <c r="B286" s="72">
        <f t="shared" si="59"/>
        <v>10</v>
      </c>
      <c r="C286" s="72" t="s">
        <v>457</v>
      </c>
      <c r="D286" s="39" t="s">
        <v>458</v>
      </c>
      <c r="E286" s="40">
        <v>44377</v>
      </c>
      <c r="F286" s="41">
        <v>3768.009</v>
      </c>
      <c r="G286" s="42">
        <v>10</v>
      </c>
      <c r="H286" s="43">
        <f t="shared" si="56"/>
        <v>376.80090000000001</v>
      </c>
      <c r="I286" s="41">
        <v>24452.876</v>
      </c>
      <c r="J286" s="41">
        <v>51866.928</v>
      </c>
      <c r="K286" s="41">
        <v>42575.464999999997</v>
      </c>
      <c r="L286" s="41">
        <v>558.327</v>
      </c>
      <c r="M286" s="41">
        <v>4789.2839999999997</v>
      </c>
      <c r="N286" s="43">
        <f t="shared" si="57"/>
        <v>477.99299999999948</v>
      </c>
      <c r="O286" s="41">
        <v>4311.2910000000002</v>
      </c>
      <c r="P286" s="44">
        <f>20+14.3</f>
        <v>34.299999999999997</v>
      </c>
      <c r="Q286" s="44">
        <v>0</v>
      </c>
      <c r="R286" s="45">
        <f t="shared" si="58"/>
        <v>34.299999999999997</v>
      </c>
      <c r="S286" s="46">
        <v>1122</v>
      </c>
    </row>
    <row r="287" spans="2:19" ht="15.75" x14ac:dyDescent="0.25">
      <c r="B287" s="72">
        <f t="shared" si="59"/>
        <v>11</v>
      </c>
      <c r="C287" s="72" t="s">
        <v>459</v>
      </c>
      <c r="D287" s="39" t="s">
        <v>460</v>
      </c>
      <c r="E287" s="40">
        <v>44377</v>
      </c>
      <c r="F287" s="41">
        <v>300</v>
      </c>
      <c r="G287" s="42">
        <v>10</v>
      </c>
      <c r="H287" s="43">
        <f t="shared" si="56"/>
        <v>30</v>
      </c>
      <c r="I287" s="41">
        <v>34697.283259000003</v>
      </c>
      <c r="J287" s="41">
        <v>67124.105614999993</v>
      </c>
      <c r="K287" s="41">
        <v>52132.24265</v>
      </c>
      <c r="L287" s="41">
        <v>1794.6916679999999</v>
      </c>
      <c r="M287" s="41">
        <v>5562.7775869999996</v>
      </c>
      <c r="N287" s="43">
        <f t="shared" si="57"/>
        <v>131.02079699999922</v>
      </c>
      <c r="O287" s="41">
        <v>5431.7567900000004</v>
      </c>
      <c r="P287" s="44">
        <f>200+100</f>
        <v>300</v>
      </c>
      <c r="Q287" s="44">
        <v>0</v>
      </c>
      <c r="R287" s="45">
        <f t="shared" si="58"/>
        <v>300</v>
      </c>
      <c r="S287" s="46">
        <v>1369</v>
      </c>
    </row>
    <row r="288" spans="2:19" ht="15.75" x14ac:dyDescent="0.25">
      <c r="B288" s="72">
        <f t="shared" si="59"/>
        <v>12</v>
      </c>
      <c r="C288" s="72" t="s">
        <v>461</v>
      </c>
      <c r="D288" s="39" t="s">
        <v>462</v>
      </c>
      <c r="E288" s="40">
        <v>44377</v>
      </c>
      <c r="F288" s="41">
        <v>4277.9459999999999</v>
      </c>
      <c r="G288" s="42">
        <v>10</v>
      </c>
      <c r="H288" s="43">
        <f t="shared" si="56"/>
        <v>427.7946</v>
      </c>
      <c r="I288" s="41">
        <v>23469.145</v>
      </c>
      <c r="J288" s="41">
        <v>89552.145999999993</v>
      </c>
      <c r="K288" s="41">
        <v>86424.48</v>
      </c>
      <c r="L288" s="41">
        <v>2341.076</v>
      </c>
      <c r="M288" s="41">
        <v>6117.3819999999996</v>
      </c>
      <c r="N288" s="43">
        <f t="shared" si="57"/>
        <v>984.46599999999944</v>
      </c>
      <c r="O288" s="41">
        <v>5132.9160000000002</v>
      </c>
      <c r="P288" s="44">
        <f>10</f>
        <v>10</v>
      </c>
      <c r="Q288" s="44">
        <f>20</f>
        <v>20</v>
      </c>
      <c r="R288" s="45">
        <f t="shared" si="58"/>
        <v>30</v>
      </c>
      <c r="S288" s="46">
        <v>5684</v>
      </c>
    </row>
    <row r="289" spans="2:19" ht="15.75" x14ac:dyDescent="0.25">
      <c r="B289" s="72">
        <f t="shared" si="59"/>
        <v>13</v>
      </c>
      <c r="C289" s="72" t="s">
        <v>463</v>
      </c>
      <c r="D289" s="39" t="s">
        <v>464</v>
      </c>
      <c r="E289" s="40">
        <v>44377</v>
      </c>
      <c r="F289" s="41">
        <v>326.35599999999999</v>
      </c>
      <c r="G289" s="42">
        <v>10</v>
      </c>
      <c r="H289" s="43">
        <f t="shared" si="56"/>
        <v>32.635599999999997</v>
      </c>
      <c r="I289" s="41">
        <v>1450.202466</v>
      </c>
      <c r="J289" s="41">
        <v>2823.9387529999999</v>
      </c>
      <c r="K289" s="41">
        <v>6340.3137740000002</v>
      </c>
      <c r="L289" s="41">
        <v>95.604988000000006</v>
      </c>
      <c r="M289" s="41">
        <v>251.14416199999999</v>
      </c>
      <c r="N289" s="43">
        <f t="shared" si="57"/>
        <v>54.588111999999995</v>
      </c>
      <c r="O289" s="41">
        <v>196.55605</v>
      </c>
      <c r="P289" s="44">
        <v>7.5</v>
      </c>
      <c r="Q289" s="44">
        <v>0</v>
      </c>
      <c r="R289" s="45">
        <f t="shared" si="58"/>
        <v>7.5</v>
      </c>
      <c r="S289" s="46">
        <v>4786</v>
      </c>
    </row>
    <row r="290" spans="2:19" ht="15.75" x14ac:dyDescent="0.25">
      <c r="B290" s="72">
        <f t="shared" si="59"/>
        <v>14</v>
      </c>
      <c r="C290" s="72" t="s">
        <v>465</v>
      </c>
      <c r="D290" s="39" t="s">
        <v>466</v>
      </c>
      <c r="E290" s="40">
        <v>44377</v>
      </c>
      <c r="F290" s="41">
        <v>129.96304000000001</v>
      </c>
      <c r="G290" s="42">
        <v>10</v>
      </c>
      <c r="H290" s="43">
        <f t="shared" si="56"/>
        <v>12.996304</v>
      </c>
      <c r="I290" s="41">
        <v>187.02308400000001</v>
      </c>
      <c r="J290" s="41">
        <v>420.40729800000003</v>
      </c>
      <c r="K290" s="41">
        <v>389.82208400000002</v>
      </c>
      <c r="L290" s="41">
        <v>10.299965</v>
      </c>
      <c r="M290" s="41">
        <v>10.554171999999999</v>
      </c>
      <c r="N290" s="43">
        <f t="shared" si="57"/>
        <v>3.5115329999999991</v>
      </c>
      <c r="O290" s="41">
        <v>7.0426390000000003</v>
      </c>
      <c r="P290" s="44">
        <v>0</v>
      </c>
      <c r="Q290" s="44">
        <v>0</v>
      </c>
      <c r="R290" s="45">
        <f t="shared" si="58"/>
        <v>0</v>
      </c>
      <c r="S290" s="46">
        <v>820</v>
      </c>
    </row>
    <row r="291" spans="2:19" ht="15.75" x14ac:dyDescent="0.25">
      <c r="B291" s="72">
        <f t="shared" si="59"/>
        <v>15</v>
      </c>
      <c r="C291" s="72" t="s">
        <v>467</v>
      </c>
      <c r="D291" s="39" t="s">
        <v>468</v>
      </c>
      <c r="E291" s="40">
        <v>44377</v>
      </c>
      <c r="F291" s="41">
        <v>12</v>
      </c>
      <c r="G291" s="42">
        <v>10</v>
      </c>
      <c r="H291" s="43">
        <f t="shared" si="56"/>
        <v>1.2</v>
      </c>
      <c r="I291" s="41">
        <v>526.93410900000003</v>
      </c>
      <c r="J291" s="41">
        <v>538.98399900000004</v>
      </c>
      <c r="K291" s="41">
        <v>23.035052</v>
      </c>
      <c r="L291" s="41">
        <v>1.2097999999999999E-2</v>
      </c>
      <c r="M291" s="41">
        <v>40.127972</v>
      </c>
      <c r="N291" s="43">
        <f t="shared" si="57"/>
        <v>6.8288060000000002</v>
      </c>
      <c r="O291" s="41">
        <v>33.299166</v>
      </c>
      <c r="P291" s="44">
        <v>20</v>
      </c>
      <c r="Q291" s="44">
        <v>0</v>
      </c>
      <c r="R291" s="45">
        <f t="shared" si="58"/>
        <v>20</v>
      </c>
      <c r="S291" s="46">
        <v>949</v>
      </c>
    </row>
    <row r="292" spans="2:19" ht="15.75" x14ac:dyDescent="0.25">
      <c r="B292" s="72">
        <f t="shared" si="59"/>
        <v>16</v>
      </c>
      <c r="C292" s="72" t="s">
        <v>469</v>
      </c>
      <c r="D292" s="39" t="s">
        <v>470</v>
      </c>
      <c r="E292" s="40">
        <v>44377</v>
      </c>
      <c r="F292" s="41">
        <v>106.25852</v>
      </c>
      <c r="G292" s="42">
        <v>10</v>
      </c>
      <c r="H292" s="43">
        <f t="shared" si="56"/>
        <v>10.625852</v>
      </c>
      <c r="I292" s="41">
        <v>-560.03274699999997</v>
      </c>
      <c r="J292" s="41">
        <v>388.370273</v>
      </c>
      <c r="K292" s="41">
        <v>149.68371300000001</v>
      </c>
      <c r="L292" s="41">
        <v>27.279154999999999</v>
      </c>
      <c r="M292" s="41">
        <v>460.32952299999999</v>
      </c>
      <c r="N292" s="43">
        <f t="shared" si="57"/>
        <v>78.257663999999977</v>
      </c>
      <c r="O292" s="41">
        <v>382.07185900000002</v>
      </c>
      <c r="P292" s="44">
        <v>0</v>
      </c>
      <c r="Q292" s="44">
        <v>0</v>
      </c>
      <c r="R292" s="45">
        <f t="shared" si="58"/>
        <v>0</v>
      </c>
      <c r="S292" s="46">
        <v>1019</v>
      </c>
    </row>
    <row r="293" spans="2:19" ht="15.75" x14ac:dyDescent="0.25">
      <c r="B293" s="72">
        <f t="shared" si="59"/>
        <v>17</v>
      </c>
      <c r="C293" s="72" t="s">
        <v>471</v>
      </c>
      <c r="D293" s="39" t="s">
        <v>472</v>
      </c>
      <c r="E293" s="40">
        <v>44377</v>
      </c>
      <c r="F293" s="41">
        <v>8721.9750000000004</v>
      </c>
      <c r="G293" s="42">
        <v>10</v>
      </c>
      <c r="H293" s="43">
        <f t="shared" si="56"/>
        <v>872.19749999999999</v>
      </c>
      <c r="I293" s="41">
        <v>20514.612000000001</v>
      </c>
      <c r="J293" s="41">
        <v>60694.839</v>
      </c>
      <c r="K293" s="41">
        <v>54962.264999999999</v>
      </c>
      <c r="L293" s="41">
        <v>1147.038</v>
      </c>
      <c r="M293" s="41">
        <v>6872.8630000000003</v>
      </c>
      <c r="N293" s="43">
        <f t="shared" si="57"/>
        <v>581.29200000000037</v>
      </c>
      <c r="O293" s="41">
        <v>6291.5709999999999</v>
      </c>
      <c r="P293" s="44">
        <f>15+10</f>
        <v>25</v>
      </c>
      <c r="Q293" s="44">
        <v>3</v>
      </c>
      <c r="R293" s="45">
        <f t="shared" si="58"/>
        <v>28</v>
      </c>
      <c r="S293" s="46">
        <v>4106</v>
      </c>
    </row>
    <row r="294" spans="2:19" ht="15.75" x14ac:dyDescent="0.25">
      <c r="B294" s="72">
        <f t="shared" si="59"/>
        <v>18</v>
      </c>
      <c r="C294" s="72" t="s">
        <v>473</v>
      </c>
      <c r="D294" s="39" t="s">
        <v>474</v>
      </c>
      <c r="E294" s="40">
        <v>44377</v>
      </c>
      <c r="F294" s="41">
        <v>96.75</v>
      </c>
      <c r="G294" s="42">
        <v>10</v>
      </c>
      <c r="H294" s="43">
        <f t="shared" si="56"/>
        <v>9.6750000000000007</v>
      </c>
      <c r="I294" s="41">
        <v>120.788454</v>
      </c>
      <c r="J294" s="41">
        <v>303.39184999999998</v>
      </c>
      <c r="K294" s="41">
        <v>488.09014999999999</v>
      </c>
      <c r="L294" s="41">
        <v>17.657395999999999</v>
      </c>
      <c r="M294" s="41">
        <v>6.6203089999999998</v>
      </c>
      <c r="N294" s="43">
        <f t="shared" si="57"/>
        <v>6.6704319999999999</v>
      </c>
      <c r="O294" s="41">
        <v>-5.0123000000000001E-2</v>
      </c>
      <c r="P294" s="44">
        <v>0</v>
      </c>
      <c r="Q294" s="44">
        <v>0</v>
      </c>
      <c r="R294" s="45">
        <f t="shared" si="58"/>
        <v>0</v>
      </c>
      <c r="S294" s="46">
        <v>1281</v>
      </c>
    </row>
    <row r="295" spans="2:19" ht="15.75" x14ac:dyDescent="0.25">
      <c r="B295" s="72">
        <f t="shared" si="59"/>
        <v>19</v>
      </c>
      <c r="C295" s="72" t="s">
        <v>475</v>
      </c>
      <c r="D295" s="39" t="s">
        <v>476</v>
      </c>
      <c r="E295" s="40">
        <v>44377</v>
      </c>
      <c r="F295" s="41">
        <v>12.275029999999999</v>
      </c>
      <c r="G295" s="42">
        <v>10</v>
      </c>
      <c r="H295" s="43">
        <f t="shared" si="56"/>
        <v>1.227503</v>
      </c>
      <c r="I295" s="41">
        <v>914.99820999999997</v>
      </c>
      <c r="J295" s="41">
        <v>982.96286699999996</v>
      </c>
      <c r="K295" s="41">
        <v>9.6176999999999992</v>
      </c>
      <c r="L295" s="41">
        <v>2.3890000000000001E-3</v>
      </c>
      <c r="M295" s="41">
        <v>8.2418669999999992</v>
      </c>
      <c r="N295" s="43">
        <f t="shared" si="57"/>
        <v>-1.8977520000000005</v>
      </c>
      <c r="O295" s="41">
        <v>10.139619</v>
      </c>
      <c r="P295" s="44">
        <v>0</v>
      </c>
      <c r="Q295" s="44">
        <v>0</v>
      </c>
      <c r="R295" s="45">
        <f t="shared" si="58"/>
        <v>0</v>
      </c>
      <c r="S295" s="46">
        <v>470</v>
      </c>
    </row>
    <row r="296" spans="2:19" ht="15.75" x14ac:dyDescent="0.25">
      <c r="B296" s="72">
        <f t="shared" si="59"/>
        <v>20</v>
      </c>
      <c r="C296" s="72" t="s">
        <v>477</v>
      </c>
      <c r="D296" s="39" t="s">
        <v>478</v>
      </c>
      <c r="E296" s="40">
        <v>44377</v>
      </c>
      <c r="F296" s="41">
        <v>509.11011000000002</v>
      </c>
      <c r="G296" s="42">
        <v>10</v>
      </c>
      <c r="H296" s="43">
        <f t="shared" si="56"/>
        <v>50.911011000000002</v>
      </c>
      <c r="I296" s="41">
        <v>5101.5488429999996</v>
      </c>
      <c r="J296" s="41">
        <v>13573.345590999999</v>
      </c>
      <c r="K296" s="41">
        <v>13241.029839000001</v>
      </c>
      <c r="L296" s="41">
        <v>341.43615299999999</v>
      </c>
      <c r="M296" s="41">
        <v>466.79883100000001</v>
      </c>
      <c r="N296" s="43">
        <f t="shared" si="57"/>
        <v>199.015804</v>
      </c>
      <c r="O296" s="41">
        <v>267.783027</v>
      </c>
      <c r="P296" s="44">
        <v>0</v>
      </c>
      <c r="Q296" s="44">
        <v>0</v>
      </c>
      <c r="R296" s="45">
        <f t="shared" si="58"/>
        <v>0</v>
      </c>
      <c r="S296" s="46">
        <v>1495</v>
      </c>
    </row>
    <row r="297" spans="2:19" ht="15.75" x14ac:dyDescent="0.25">
      <c r="B297" s="72">
        <f t="shared" si="59"/>
        <v>21</v>
      </c>
      <c r="C297" s="72" t="s">
        <v>479</v>
      </c>
      <c r="D297" s="39" t="s">
        <v>480</v>
      </c>
      <c r="E297" s="40">
        <v>44377</v>
      </c>
      <c r="F297" s="41">
        <v>303.02542999999997</v>
      </c>
      <c r="G297" s="42">
        <v>10</v>
      </c>
      <c r="H297" s="43">
        <f t="shared" si="56"/>
        <v>30.302542999999996</v>
      </c>
      <c r="I297" s="41">
        <v>916.58251099999995</v>
      </c>
      <c r="J297" s="41">
        <v>976.98453199999994</v>
      </c>
      <c r="K297" s="41">
        <v>61.908683000000003</v>
      </c>
      <c r="L297" s="41">
        <v>1.1792E-2</v>
      </c>
      <c r="M297" s="41">
        <v>59.510921000000003</v>
      </c>
      <c r="N297" s="43">
        <f t="shared" si="57"/>
        <v>14.893479000000006</v>
      </c>
      <c r="O297" s="41">
        <v>44.617441999999997</v>
      </c>
      <c r="P297" s="44">
        <v>0</v>
      </c>
      <c r="Q297" s="44">
        <v>0</v>
      </c>
      <c r="R297" s="45">
        <f t="shared" si="58"/>
        <v>0</v>
      </c>
      <c r="S297" s="46">
        <v>2402</v>
      </c>
    </row>
    <row r="298" spans="2:19" ht="15.75" x14ac:dyDescent="0.25">
      <c r="B298" s="72">
        <f t="shared" si="59"/>
        <v>22</v>
      </c>
      <c r="C298" s="72" t="s">
        <v>481</v>
      </c>
      <c r="D298" s="39" t="s">
        <v>482</v>
      </c>
      <c r="E298" s="40">
        <v>44377</v>
      </c>
      <c r="F298" s="41">
        <v>2992.9639999999999</v>
      </c>
      <c r="G298" s="42">
        <v>10</v>
      </c>
      <c r="H298" s="43">
        <f t="shared" si="56"/>
        <v>299.29640000000001</v>
      </c>
      <c r="I298" s="41">
        <v>20157.557000000001</v>
      </c>
      <c r="J298" s="41">
        <v>34134.254999999997</v>
      </c>
      <c r="K298" s="41">
        <v>29955.525000000001</v>
      </c>
      <c r="L298" s="41">
        <v>663.78899999999999</v>
      </c>
      <c r="M298" s="41">
        <v>3397.7089999999998</v>
      </c>
      <c r="N298" s="43">
        <f t="shared" si="57"/>
        <v>641.37999999999965</v>
      </c>
      <c r="O298" s="41">
        <v>2756.3290000000002</v>
      </c>
      <c r="P298" s="44">
        <f>10+10</f>
        <v>20</v>
      </c>
      <c r="Q298" s="44">
        <v>0</v>
      </c>
      <c r="R298" s="45">
        <f t="shared" si="58"/>
        <v>20</v>
      </c>
      <c r="S298" s="46">
        <v>4872</v>
      </c>
    </row>
    <row r="299" spans="2:19" ht="15.75" x14ac:dyDescent="0.25">
      <c r="B299" s="72">
        <f t="shared" si="59"/>
        <v>23</v>
      </c>
      <c r="C299" s="72" t="s">
        <v>483</v>
      </c>
      <c r="D299" s="39" t="s">
        <v>484</v>
      </c>
      <c r="E299" s="40">
        <v>44377</v>
      </c>
      <c r="F299" s="41">
        <v>187.5</v>
      </c>
      <c r="G299" s="42">
        <v>10</v>
      </c>
      <c r="H299" s="43">
        <f t="shared" si="56"/>
        <v>18.75</v>
      </c>
      <c r="I299" s="41">
        <v>9937.9663799999998</v>
      </c>
      <c r="J299" s="41">
        <v>26824.761426000001</v>
      </c>
      <c r="K299" s="41">
        <v>27934.497779000001</v>
      </c>
      <c r="L299" s="41">
        <v>1257.782753</v>
      </c>
      <c r="M299" s="41">
        <v>1875.2954850000001</v>
      </c>
      <c r="N299" s="43">
        <f t="shared" si="57"/>
        <v>534.69214800000009</v>
      </c>
      <c r="O299" s="41">
        <v>1340.603337</v>
      </c>
      <c r="P299" s="44">
        <v>100</v>
      </c>
      <c r="Q299" s="44">
        <v>0</v>
      </c>
      <c r="R299" s="45">
        <f t="shared" si="58"/>
        <v>100</v>
      </c>
      <c r="S299" s="46">
        <v>151</v>
      </c>
    </row>
    <row r="300" spans="2:19" ht="15.75" x14ac:dyDescent="0.25">
      <c r="B300" s="72">
        <f t="shared" si="59"/>
        <v>24</v>
      </c>
      <c r="C300" s="72" t="s">
        <v>485</v>
      </c>
      <c r="D300" s="39" t="s">
        <v>486</v>
      </c>
      <c r="E300" s="40">
        <v>44377</v>
      </c>
      <c r="F300" s="41">
        <v>675</v>
      </c>
      <c r="G300" s="42">
        <v>10</v>
      </c>
      <c r="H300" s="43">
        <f t="shared" si="56"/>
        <v>67.5</v>
      </c>
      <c r="I300" s="41">
        <v>10905.281000000001</v>
      </c>
      <c r="J300" s="41">
        <v>40407.404999999999</v>
      </c>
      <c r="K300" s="41">
        <v>37089.358999999997</v>
      </c>
      <c r="L300" s="41">
        <v>1281.8119999999999</v>
      </c>
      <c r="M300" s="41">
        <v>1038.1869999999999</v>
      </c>
      <c r="N300" s="43">
        <f t="shared" si="57"/>
        <v>397.65199999999993</v>
      </c>
      <c r="O300" s="41">
        <v>640.53499999999997</v>
      </c>
      <c r="P300" s="44">
        <v>0</v>
      </c>
      <c r="Q300" s="44">
        <v>0</v>
      </c>
      <c r="R300" s="45">
        <f t="shared" si="58"/>
        <v>0</v>
      </c>
      <c r="S300" s="46">
        <v>1337</v>
      </c>
    </row>
    <row r="301" spans="2:19" ht="15.75" x14ac:dyDescent="0.25">
      <c r="B301" s="72">
        <f t="shared" si="59"/>
        <v>25</v>
      </c>
      <c r="C301" s="72" t="s">
        <v>487</v>
      </c>
      <c r="D301" s="39" t="s">
        <v>488</v>
      </c>
      <c r="E301" s="40">
        <v>44377</v>
      </c>
      <c r="F301" s="41">
        <v>2401.19029</v>
      </c>
      <c r="G301" s="42">
        <v>10</v>
      </c>
      <c r="H301" s="43">
        <f t="shared" si="56"/>
        <v>240.11902900000001</v>
      </c>
      <c r="I301" s="41">
        <v>18996.136030999998</v>
      </c>
      <c r="J301" s="41">
        <v>51770.042062</v>
      </c>
      <c r="K301" s="41">
        <v>49283.753375</v>
      </c>
      <c r="L301" s="41">
        <v>1747.03502</v>
      </c>
      <c r="M301" s="41">
        <v>6273.1628339999997</v>
      </c>
      <c r="N301" s="43">
        <f t="shared" si="57"/>
        <v>674.3060489999998</v>
      </c>
      <c r="O301" s="41">
        <v>5598.8567849999999</v>
      </c>
      <c r="P301" s="44">
        <v>50</v>
      </c>
      <c r="Q301" s="44">
        <v>0</v>
      </c>
      <c r="R301" s="45">
        <f t="shared" si="58"/>
        <v>50</v>
      </c>
      <c r="S301" s="46">
        <v>6913</v>
      </c>
    </row>
    <row r="302" spans="2:19" ht="15.75" x14ac:dyDescent="0.25">
      <c r="B302" s="72">
        <f t="shared" si="59"/>
        <v>26</v>
      </c>
      <c r="C302" s="72" t="s">
        <v>489</v>
      </c>
      <c r="D302" s="39" t="s">
        <v>490</v>
      </c>
      <c r="E302" s="40">
        <v>44377</v>
      </c>
      <c r="F302" s="41">
        <v>3515.9989999999998</v>
      </c>
      <c r="G302" s="42">
        <v>10</v>
      </c>
      <c r="H302" s="43">
        <f t="shared" si="56"/>
        <v>351.59989999999999</v>
      </c>
      <c r="I302" s="41">
        <v>85747.778999999995</v>
      </c>
      <c r="J302" s="41">
        <v>131112.37400000001</v>
      </c>
      <c r="K302" s="41">
        <v>71431.009999999995</v>
      </c>
      <c r="L302" s="41">
        <v>1229.1790000000001</v>
      </c>
      <c r="M302" s="41">
        <v>7070.5020000000004</v>
      </c>
      <c r="N302" s="43">
        <f t="shared" si="57"/>
        <v>1148.0320000000002</v>
      </c>
      <c r="O302" s="41">
        <v>5922.47</v>
      </c>
      <c r="P302" s="44">
        <v>40</v>
      </c>
      <c r="Q302" s="44">
        <v>0</v>
      </c>
      <c r="R302" s="45">
        <f t="shared" si="58"/>
        <v>40</v>
      </c>
      <c r="S302" s="46">
        <v>13208</v>
      </c>
    </row>
    <row r="303" spans="2:19" ht="15.75" x14ac:dyDescent="0.25">
      <c r="B303" s="72">
        <f t="shared" si="59"/>
        <v>27</v>
      </c>
      <c r="C303" s="72" t="s">
        <v>491</v>
      </c>
      <c r="D303" s="39" t="s">
        <v>492</v>
      </c>
      <c r="E303" s="40">
        <v>44377</v>
      </c>
      <c r="F303" s="41">
        <v>130</v>
      </c>
      <c r="G303" s="42">
        <v>10</v>
      </c>
      <c r="H303" s="43">
        <f t="shared" si="56"/>
        <v>13</v>
      </c>
      <c r="I303" s="41">
        <v>-269.98279400000001</v>
      </c>
      <c r="J303" s="41">
        <v>8964.7840629999992</v>
      </c>
      <c r="K303" s="41">
        <v>4982.2238100000004</v>
      </c>
      <c r="L303" s="41">
        <v>36.135603000000003</v>
      </c>
      <c r="M303" s="41">
        <v>-300.025868</v>
      </c>
      <c r="N303" s="43">
        <f t="shared" si="57"/>
        <v>68.27837199999999</v>
      </c>
      <c r="O303" s="41">
        <v>-368.30423999999999</v>
      </c>
      <c r="P303" s="44">
        <v>0</v>
      </c>
      <c r="Q303" s="44">
        <v>0</v>
      </c>
      <c r="R303" s="45">
        <f t="shared" si="58"/>
        <v>0</v>
      </c>
      <c r="S303" s="46">
        <v>315</v>
      </c>
    </row>
    <row r="304" spans="2:19" ht="15.75" x14ac:dyDescent="0.25">
      <c r="B304" s="72">
        <f t="shared" si="59"/>
        <v>28</v>
      </c>
      <c r="C304" s="72" t="s">
        <v>493</v>
      </c>
      <c r="D304" s="39" t="s">
        <v>494</v>
      </c>
      <c r="E304" s="40">
        <v>44377</v>
      </c>
      <c r="F304" s="41">
        <v>492.92599999999999</v>
      </c>
      <c r="G304" s="42">
        <v>10</v>
      </c>
      <c r="H304" s="43">
        <f t="shared" si="56"/>
        <v>49.2926</v>
      </c>
      <c r="I304" s="41">
        <v>215.44467800000001</v>
      </c>
      <c r="J304" s="41">
        <v>1749.684925</v>
      </c>
      <c r="K304" s="41">
        <v>495.47047400000002</v>
      </c>
      <c r="L304" s="41">
        <v>2.0637449999999999</v>
      </c>
      <c r="M304" s="41">
        <v>48.390236000000002</v>
      </c>
      <c r="N304" s="43">
        <f t="shared" si="57"/>
        <v>-7.0512280000000018</v>
      </c>
      <c r="O304" s="41">
        <v>55.441464000000003</v>
      </c>
      <c r="P304" s="44">
        <v>0</v>
      </c>
      <c r="Q304" s="44">
        <v>0</v>
      </c>
      <c r="R304" s="45">
        <f t="shared" si="58"/>
        <v>0</v>
      </c>
      <c r="S304" s="46">
        <v>872</v>
      </c>
    </row>
    <row r="305" spans="2:19" ht="15.75" x14ac:dyDescent="0.25">
      <c r="B305" s="72">
        <f t="shared" si="59"/>
        <v>29</v>
      </c>
      <c r="C305" s="72" t="s">
        <v>495</v>
      </c>
      <c r="D305" s="39" t="s">
        <v>496</v>
      </c>
      <c r="E305" s="40">
        <v>44377</v>
      </c>
      <c r="F305" s="41">
        <v>308.10937000000001</v>
      </c>
      <c r="G305" s="42">
        <v>10</v>
      </c>
      <c r="H305" s="43">
        <f t="shared" si="56"/>
        <v>30.810937000000003</v>
      </c>
      <c r="I305" s="41">
        <v>6069.5812669999996</v>
      </c>
      <c r="J305" s="41">
        <v>19312.396328999999</v>
      </c>
      <c r="K305" s="41">
        <v>24030.099722999999</v>
      </c>
      <c r="L305" s="41">
        <v>917.65329499999996</v>
      </c>
      <c r="M305" s="41">
        <v>2019.248188</v>
      </c>
      <c r="N305" s="43">
        <f t="shared" si="57"/>
        <v>286.44105500000001</v>
      </c>
      <c r="O305" s="41">
        <v>1732.807133</v>
      </c>
      <c r="P305" s="44">
        <f>50+25</f>
        <v>75</v>
      </c>
      <c r="Q305" s="44">
        <v>0</v>
      </c>
      <c r="R305" s="45">
        <f t="shared" si="58"/>
        <v>75</v>
      </c>
      <c r="S305" s="46">
        <v>1656</v>
      </c>
    </row>
    <row r="306" spans="2:19" ht="15.75" x14ac:dyDescent="0.25">
      <c r="B306" s="72">
        <f t="shared" si="59"/>
        <v>30</v>
      </c>
      <c r="C306" s="72" t="s">
        <v>497</v>
      </c>
      <c r="D306" s="39" t="s">
        <v>498</v>
      </c>
      <c r="E306" s="40">
        <v>44377</v>
      </c>
      <c r="F306" s="41">
        <v>216.89791</v>
      </c>
      <c r="G306" s="42">
        <v>10</v>
      </c>
      <c r="H306" s="43">
        <f t="shared" si="56"/>
        <v>21.689791</v>
      </c>
      <c r="I306" s="41">
        <v>21018.585789000001</v>
      </c>
      <c r="J306" s="41">
        <v>51798.412096</v>
      </c>
      <c r="K306" s="41">
        <v>38470.986947999998</v>
      </c>
      <c r="L306" s="41">
        <v>1582.5326789999999</v>
      </c>
      <c r="M306" s="41">
        <v>3759.3688609999999</v>
      </c>
      <c r="N306" s="43">
        <f t="shared" si="57"/>
        <v>496.43382100000008</v>
      </c>
      <c r="O306" s="41">
        <v>3262.9350399999998</v>
      </c>
      <c r="P306" s="44">
        <v>150</v>
      </c>
      <c r="Q306" s="44">
        <v>0</v>
      </c>
      <c r="R306" s="45">
        <f t="shared" si="58"/>
        <v>150</v>
      </c>
      <c r="S306" s="46">
        <v>469</v>
      </c>
    </row>
    <row r="307" spans="2:19" ht="15.75" x14ac:dyDescent="0.25">
      <c r="B307" s="72">
        <f t="shared" si="59"/>
        <v>31</v>
      </c>
      <c r="C307" s="72" t="s">
        <v>499</v>
      </c>
      <c r="D307" s="39" t="s">
        <v>500</v>
      </c>
      <c r="E307" s="40">
        <v>44377</v>
      </c>
      <c r="F307" s="41">
        <v>206.71875</v>
      </c>
      <c r="G307" s="42">
        <v>10</v>
      </c>
      <c r="H307" s="43">
        <f t="shared" si="56"/>
        <v>20.671875</v>
      </c>
      <c r="I307" s="41">
        <v>18915.478789000001</v>
      </c>
      <c r="J307" s="41">
        <v>40859.720206999998</v>
      </c>
      <c r="K307" s="41">
        <v>27531.203138000001</v>
      </c>
      <c r="L307" s="41">
        <v>962.84970899999996</v>
      </c>
      <c r="M307" s="41">
        <v>2673.7945960000002</v>
      </c>
      <c r="N307" s="43">
        <f t="shared" si="57"/>
        <v>400.22999000000027</v>
      </c>
      <c r="O307" s="41">
        <v>2273.5646059999999</v>
      </c>
      <c r="P307" s="44">
        <v>100</v>
      </c>
      <c r="Q307" s="44">
        <v>0</v>
      </c>
      <c r="R307" s="45">
        <f t="shared" si="58"/>
        <v>100</v>
      </c>
      <c r="S307" s="46">
        <v>649</v>
      </c>
    </row>
    <row r="308" spans="2:19" ht="15.75" x14ac:dyDescent="0.25">
      <c r="B308" s="72">
        <f t="shared" si="59"/>
        <v>32</v>
      </c>
      <c r="C308" s="72" t="s">
        <v>501</v>
      </c>
      <c r="D308" s="39" t="s">
        <v>502</v>
      </c>
      <c r="E308" s="40">
        <v>44377</v>
      </c>
      <c r="F308" s="41">
        <v>86.4</v>
      </c>
      <c r="G308" s="42">
        <v>10</v>
      </c>
      <c r="H308" s="43">
        <f t="shared" si="56"/>
        <v>8.64</v>
      </c>
      <c r="I308" s="41">
        <v>895.59400000000005</v>
      </c>
      <c r="J308" s="41">
        <v>2573.2919999999999</v>
      </c>
      <c r="K308" s="41">
        <v>7122.4210000000003</v>
      </c>
      <c r="L308" s="41">
        <v>70.326999999999998</v>
      </c>
      <c r="M308" s="41">
        <v>466.46600000000001</v>
      </c>
      <c r="N308" s="43">
        <f t="shared" si="57"/>
        <v>104.96699999999998</v>
      </c>
      <c r="O308" s="41">
        <v>361.49900000000002</v>
      </c>
      <c r="P308" s="44">
        <v>20</v>
      </c>
      <c r="Q308" s="44">
        <v>0</v>
      </c>
      <c r="R308" s="45">
        <f t="shared" si="58"/>
        <v>20</v>
      </c>
      <c r="S308" s="46">
        <v>958</v>
      </c>
    </row>
    <row r="309" spans="2:19" ht="15.75" x14ac:dyDescent="0.25">
      <c r="B309" s="72">
        <f t="shared" si="59"/>
        <v>33</v>
      </c>
      <c r="C309" s="72" t="s">
        <v>503</v>
      </c>
      <c r="D309" s="39" t="s">
        <v>504</v>
      </c>
      <c r="E309" s="40">
        <v>44377</v>
      </c>
      <c r="F309" s="41">
        <v>403.38400000000001</v>
      </c>
      <c r="G309" s="42">
        <v>10</v>
      </c>
      <c r="H309" s="43">
        <f t="shared" si="56"/>
        <v>40.3384</v>
      </c>
      <c r="I309" s="41">
        <v>9268.0020000000004</v>
      </c>
      <c r="J309" s="41">
        <v>15730.546</v>
      </c>
      <c r="K309" s="41">
        <v>17374.8</v>
      </c>
      <c r="L309" s="41">
        <v>165.18199999999999</v>
      </c>
      <c r="M309" s="41">
        <v>3086.0830000000001</v>
      </c>
      <c r="N309" s="43">
        <f t="shared" si="57"/>
        <v>527.5619999999999</v>
      </c>
      <c r="O309" s="41">
        <v>2558.5210000000002</v>
      </c>
      <c r="P309" s="44">
        <v>100</v>
      </c>
      <c r="Q309" s="44">
        <v>10</v>
      </c>
      <c r="R309" s="45">
        <f t="shared" si="58"/>
        <v>110</v>
      </c>
      <c r="S309" s="46">
        <v>712</v>
      </c>
    </row>
    <row r="310" spans="2:19" ht="15.75" x14ac:dyDescent="0.25">
      <c r="B310" s="72">
        <f t="shared" si="59"/>
        <v>34</v>
      </c>
      <c r="C310" s="72" t="s">
        <v>505</v>
      </c>
      <c r="D310" s="39" t="s">
        <v>506</v>
      </c>
      <c r="E310" s="40">
        <v>44377</v>
      </c>
      <c r="F310" s="41">
        <v>170</v>
      </c>
      <c r="G310" s="42">
        <v>10</v>
      </c>
      <c r="H310" s="43">
        <f t="shared" si="56"/>
        <v>17</v>
      </c>
      <c r="I310" s="41">
        <v>3277.7198490000001</v>
      </c>
      <c r="J310" s="41">
        <v>4297.0243090000004</v>
      </c>
      <c r="K310" s="41">
        <v>5220.7471699999996</v>
      </c>
      <c r="L310" s="41">
        <v>5.4441769999999998</v>
      </c>
      <c r="M310" s="41">
        <v>614.20812799999999</v>
      </c>
      <c r="N310" s="43">
        <f t="shared" si="57"/>
        <v>57.751774999999952</v>
      </c>
      <c r="O310" s="41">
        <v>556.45635300000004</v>
      </c>
      <c r="P310" s="44">
        <v>0</v>
      </c>
      <c r="Q310" s="44">
        <v>0</v>
      </c>
      <c r="R310" s="45">
        <f t="shared" si="58"/>
        <v>0</v>
      </c>
      <c r="S310" s="46">
        <v>811</v>
      </c>
    </row>
    <row r="311" spans="2:19" ht="15.75" x14ac:dyDescent="0.25">
      <c r="B311" s="72">
        <f t="shared" si="59"/>
        <v>35</v>
      </c>
      <c r="C311" s="72" t="s">
        <v>507</v>
      </c>
      <c r="D311" s="39" t="s">
        <v>508</v>
      </c>
      <c r="E311" s="40">
        <v>44377</v>
      </c>
      <c r="F311" s="41">
        <v>1914.21099</v>
      </c>
      <c r="G311" s="42">
        <v>10</v>
      </c>
      <c r="H311" s="43">
        <f t="shared" si="56"/>
        <v>191.421099</v>
      </c>
      <c r="I311" s="41">
        <v>7844.7226710000004</v>
      </c>
      <c r="J311" s="41">
        <f>8151.946432+6657.432812</f>
        <v>14809.379244</v>
      </c>
      <c r="K311" s="41">
        <v>16614.519971999998</v>
      </c>
      <c r="L311" s="41">
        <v>282.67138699999998</v>
      </c>
      <c r="M311" s="41">
        <v>1718.9830899999999</v>
      </c>
      <c r="N311" s="43">
        <f t="shared" si="57"/>
        <v>161.87644499999988</v>
      </c>
      <c r="O311" s="41">
        <v>1557.1066450000001</v>
      </c>
      <c r="P311" s="44">
        <f>10+13</f>
        <v>23</v>
      </c>
      <c r="Q311" s="44">
        <v>0</v>
      </c>
      <c r="R311" s="45">
        <f t="shared" si="58"/>
        <v>23</v>
      </c>
      <c r="S311" s="46">
        <v>3242</v>
      </c>
    </row>
    <row r="312" spans="2:19" ht="15.75" x14ac:dyDescent="0.25">
      <c r="B312" s="75"/>
      <c r="C312" s="75"/>
      <c r="D312" s="48"/>
      <c r="E312" s="49"/>
      <c r="F312" s="50"/>
      <c r="G312" s="51"/>
      <c r="H312" s="52"/>
      <c r="I312" s="50"/>
      <c r="J312" s="50"/>
      <c r="K312" s="50"/>
      <c r="L312" s="50"/>
      <c r="M312" s="50"/>
      <c r="N312" s="52"/>
      <c r="O312" s="50"/>
      <c r="P312" s="53"/>
      <c r="Q312" s="53"/>
      <c r="R312" s="54"/>
      <c r="S312" s="55"/>
    </row>
    <row r="313" spans="2:19" ht="18.75" x14ac:dyDescent="0.3">
      <c r="B313" s="32"/>
      <c r="C313" s="32"/>
      <c r="D313" s="68" t="s">
        <v>41</v>
      </c>
      <c r="E313" s="33"/>
      <c r="F313" s="32"/>
      <c r="G313" s="51"/>
      <c r="H313" s="57"/>
      <c r="I313" s="35"/>
      <c r="J313" s="35"/>
      <c r="K313" s="35"/>
      <c r="L313" s="35"/>
      <c r="M313" s="35"/>
      <c r="N313" s="58"/>
      <c r="O313" s="35"/>
      <c r="P313" s="35"/>
      <c r="Q313" s="35"/>
      <c r="R313" s="58"/>
      <c r="S313" s="35"/>
    </row>
    <row r="314" spans="2:19" ht="15.75" x14ac:dyDescent="0.25">
      <c r="B314" s="72">
        <v>1</v>
      </c>
      <c r="C314" s="72" t="s">
        <v>509</v>
      </c>
      <c r="D314" s="39" t="s">
        <v>510</v>
      </c>
      <c r="E314" s="40">
        <v>44377</v>
      </c>
      <c r="F314" s="41"/>
      <c r="G314" s="42">
        <v>10</v>
      </c>
      <c r="H314" s="43">
        <f t="shared" ref="H314:H328" si="60">+F314/G314</f>
        <v>0</v>
      </c>
      <c r="I314" s="41"/>
      <c r="J314" s="41"/>
      <c r="K314" s="41"/>
      <c r="L314" s="41"/>
      <c r="M314" s="41"/>
      <c r="N314" s="43">
        <f t="shared" ref="N314:N328" si="61">+M314-O314</f>
        <v>0</v>
      </c>
      <c r="O314" s="41"/>
      <c r="P314" s="44"/>
      <c r="Q314" s="44"/>
      <c r="R314" s="45">
        <f t="shared" ref="R314:R328" si="62">SUM(P314:Q314)</f>
        <v>0</v>
      </c>
      <c r="S314" s="46"/>
    </row>
    <row r="315" spans="2:19" ht="15.75" x14ac:dyDescent="0.25">
      <c r="B315" s="72">
        <f>+B314+1</f>
        <v>2</v>
      </c>
      <c r="C315" s="72" t="s">
        <v>511</v>
      </c>
      <c r="D315" s="39" t="s">
        <v>512</v>
      </c>
      <c r="E315" s="40">
        <v>44377</v>
      </c>
      <c r="F315" s="41">
        <v>20</v>
      </c>
      <c r="G315" s="42">
        <v>10</v>
      </c>
      <c r="H315" s="43">
        <f t="shared" si="60"/>
        <v>2</v>
      </c>
      <c r="I315" s="41">
        <v>334.46805499999999</v>
      </c>
      <c r="J315" s="41">
        <v>360.09513299999998</v>
      </c>
      <c r="K315" s="41">
        <v>0</v>
      </c>
      <c r="L315" s="41">
        <v>2.941E-3</v>
      </c>
      <c r="M315" s="41">
        <v>-23.946975999999999</v>
      </c>
      <c r="N315" s="43">
        <f t="shared" si="61"/>
        <v>0</v>
      </c>
      <c r="O315" s="41">
        <v>-23.946975999999999</v>
      </c>
      <c r="P315" s="44">
        <v>0</v>
      </c>
      <c r="Q315" s="44">
        <v>0</v>
      </c>
      <c r="R315" s="45">
        <f t="shared" si="62"/>
        <v>0</v>
      </c>
      <c r="S315" s="46">
        <v>126</v>
      </c>
    </row>
    <row r="316" spans="2:19" ht="15.75" x14ac:dyDescent="0.25">
      <c r="B316" s="72">
        <f t="shared" ref="B316:B328" si="63">+B315+1</f>
        <v>3</v>
      </c>
      <c r="C316" s="72" t="s">
        <v>513</v>
      </c>
      <c r="D316" s="39" t="s">
        <v>514</v>
      </c>
      <c r="E316" s="40">
        <v>44377</v>
      </c>
      <c r="F316" s="41"/>
      <c r="G316" s="42">
        <v>10</v>
      </c>
      <c r="H316" s="43">
        <f t="shared" si="60"/>
        <v>0</v>
      </c>
      <c r="I316" s="41"/>
      <c r="J316" s="41"/>
      <c r="K316" s="41"/>
      <c r="L316" s="41"/>
      <c r="M316" s="41"/>
      <c r="N316" s="43">
        <f t="shared" si="61"/>
        <v>0</v>
      </c>
      <c r="O316" s="41"/>
      <c r="P316" s="44"/>
      <c r="Q316" s="44"/>
      <c r="R316" s="45">
        <f t="shared" si="62"/>
        <v>0</v>
      </c>
      <c r="S316" s="46"/>
    </row>
    <row r="317" spans="2:19" ht="15.75" x14ac:dyDescent="0.25">
      <c r="B317" s="72">
        <f t="shared" si="63"/>
        <v>4</v>
      </c>
      <c r="C317" s="72" t="s">
        <v>515</v>
      </c>
      <c r="D317" s="39" t="s">
        <v>516</v>
      </c>
      <c r="E317" s="40">
        <v>44377</v>
      </c>
      <c r="F317" s="41">
        <v>132.71600000000001</v>
      </c>
      <c r="G317" s="42">
        <v>10</v>
      </c>
      <c r="H317" s="43">
        <f t="shared" si="60"/>
        <v>13.271600000000001</v>
      </c>
      <c r="I317" s="41">
        <v>227.568915</v>
      </c>
      <c r="J317" s="41">
        <v>487.12589500000001</v>
      </c>
      <c r="K317" s="41">
        <v>313.98210699999998</v>
      </c>
      <c r="L317" s="41">
        <v>0.53493599999999997</v>
      </c>
      <c r="M317" s="41">
        <v>-15.37744</v>
      </c>
      <c r="N317" s="43">
        <f t="shared" si="61"/>
        <v>7.7189310000000013</v>
      </c>
      <c r="O317" s="41">
        <v>-23.096371000000001</v>
      </c>
      <c r="P317" s="44">
        <v>0</v>
      </c>
      <c r="Q317" s="44">
        <v>0</v>
      </c>
      <c r="R317" s="45">
        <f t="shared" si="62"/>
        <v>0</v>
      </c>
      <c r="S317" s="46">
        <v>296</v>
      </c>
    </row>
    <row r="318" spans="2:19" ht="15.75" x14ac:dyDescent="0.25">
      <c r="B318" s="72">
        <f t="shared" si="63"/>
        <v>5</v>
      </c>
      <c r="C318" s="72" t="s">
        <v>517</v>
      </c>
      <c r="D318" s="59" t="s">
        <v>518</v>
      </c>
      <c r="E318" s="40">
        <v>44377</v>
      </c>
      <c r="F318" s="41">
        <v>324.91505000000001</v>
      </c>
      <c r="G318" s="42">
        <v>10</v>
      </c>
      <c r="H318" s="43">
        <f>+F318/G318</f>
        <v>32.491505000000004</v>
      </c>
      <c r="I318" s="41">
        <v>673.31035499999996</v>
      </c>
      <c r="J318" s="41">
        <v>864.21995700000002</v>
      </c>
      <c r="K318" s="41">
        <v>2.8618209999999999</v>
      </c>
      <c r="L318" s="41">
        <v>0.106002</v>
      </c>
      <c r="M318" s="41">
        <v>15.34862</v>
      </c>
      <c r="N318" s="43">
        <f>+M318-O318</f>
        <v>10.171787999999999</v>
      </c>
      <c r="O318" s="41">
        <v>5.1768320000000001</v>
      </c>
      <c r="P318" s="44">
        <v>0</v>
      </c>
      <c r="Q318" s="44">
        <v>0</v>
      </c>
      <c r="R318" s="45">
        <f>SUM(P318:Q318)</f>
        <v>0</v>
      </c>
      <c r="S318" s="46">
        <v>1372</v>
      </c>
    </row>
    <row r="319" spans="2:19" ht="15.75" x14ac:dyDescent="0.25">
      <c r="B319" s="72">
        <f t="shared" si="63"/>
        <v>6</v>
      </c>
      <c r="C319" s="72" t="s">
        <v>519</v>
      </c>
      <c r="D319" s="39" t="s">
        <v>520</v>
      </c>
      <c r="E319" s="40">
        <v>44377</v>
      </c>
      <c r="F319" s="41"/>
      <c r="G319" s="42">
        <v>10</v>
      </c>
      <c r="H319" s="43">
        <f t="shared" si="60"/>
        <v>0</v>
      </c>
      <c r="I319" s="41"/>
      <c r="J319" s="41"/>
      <c r="K319" s="41"/>
      <c r="L319" s="41"/>
      <c r="M319" s="41"/>
      <c r="N319" s="43">
        <f t="shared" si="61"/>
        <v>0</v>
      </c>
      <c r="O319" s="41"/>
      <c r="P319" s="44"/>
      <c r="Q319" s="44"/>
      <c r="R319" s="45">
        <f t="shared" si="62"/>
        <v>0</v>
      </c>
      <c r="S319" s="46"/>
    </row>
    <row r="320" spans="2:19" ht="15.75" x14ac:dyDescent="0.25">
      <c r="B320" s="72">
        <f t="shared" si="63"/>
        <v>7</v>
      </c>
      <c r="C320" s="72" t="s">
        <v>521</v>
      </c>
      <c r="D320" s="39" t="s">
        <v>522</v>
      </c>
      <c r="E320" s="40">
        <v>44377</v>
      </c>
      <c r="F320" s="41"/>
      <c r="G320" s="42">
        <v>10</v>
      </c>
      <c r="H320" s="43">
        <f t="shared" si="60"/>
        <v>0</v>
      </c>
      <c r="I320" s="41"/>
      <c r="J320" s="41"/>
      <c r="K320" s="41"/>
      <c r="L320" s="41"/>
      <c r="M320" s="41"/>
      <c r="N320" s="43">
        <f t="shared" si="61"/>
        <v>0</v>
      </c>
      <c r="O320" s="41"/>
      <c r="P320" s="44"/>
      <c r="Q320" s="44"/>
      <c r="R320" s="45">
        <f t="shared" si="62"/>
        <v>0</v>
      </c>
      <c r="S320" s="46"/>
    </row>
    <row r="321" spans="2:19" ht="15.75" x14ac:dyDescent="0.25">
      <c r="B321" s="72">
        <f t="shared" si="63"/>
        <v>8</v>
      </c>
      <c r="C321" s="72" t="s">
        <v>523</v>
      </c>
      <c r="D321" s="39" t="s">
        <v>524</v>
      </c>
      <c r="E321" s="40">
        <v>44377</v>
      </c>
      <c r="F321" s="41">
        <v>54</v>
      </c>
      <c r="G321" s="42">
        <v>10</v>
      </c>
      <c r="H321" s="43">
        <f t="shared" si="60"/>
        <v>5.4</v>
      </c>
      <c r="I321" s="41">
        <v>219.70683399999999</v>
      </c>
      <c r="J321" s="41">
        <v>271.36666500000001</v>
      </c>
      <c r="K321" s="41">
        <v>0</v>
      </c>
      <c r="L321" s="41">
        <v>1.0989999999999999E-3</v>
      </c>
      <c r="M321" s="41">
        <v>8.451117</v>
      </c>
      <c r="N321" s="43">
        <f t="shared" si="61"/>
        <v>1.8305490000000004</v>
      </c>
      <c r="O321" s="41">
        <v>6.6205679999999996</v>
      </c>
      <c r="P321" s="44">
        <v>0</v>
      </c>
      <c r="Q321" s="44">
        <v>0</v>
      </c>
      <c r="R321" s="45">
        <f t="shared" si="62"/>
        <v>0</v>
      </c>
      <c r="S321" s="46">
        <v>611</v>
      </c>
    </row>
    <row r="322" spans="2:19" ht="15.75" x14ac:dyDescent="0.25">
      <c r="B322" s="72">
        <f t="shared" si="63"/>
        <v>9</v>
      </c>
      <c r="C322" s="72" t="s">
        <v>525</v>
      </c>
      <c r="D322" s="59" t="s">
        <v>526</v>
      </c>
      <c r="E322" s="40">
        <v>44377</v>
      </c>
      <c r="F322" s="82"/>
      <c r="G322" s="83">
        <v>10</v>
      </c>
      <c r="H322" s="84">
        <f t="shared" si="60"/>
        <v>0</v>
      </c>
      <c r="I322" s="82"/>
      <c r="J322" s="82"/>
      <c r="K322" s="82"/>
      <c r="L322" s="82"/>
      <c r="M322" s="82"/>
      <c r="N322" s="84">
        <f t="shared" si="61"/>
        <v>0</v>
      </c>
      <c r="O322" s="82"/>
      <c r="P322" s="85"/>
      <c r="Q322" s="85"/>
      <c r="R322" s="86">
        <f t="shared" si="62"/>
        <v>0</v>
      </c>
      <c r="S322" s="87"/>
    </row>
    <row r="323" spans="2:19" ht="15.75" x14ac:dyDescent="0.25">
      <c r="B323" s="72">
        <f t="shared" si="63"/>
        <v>10</v>
      </c>
      <c r="C323" s="72" t="s">
        <v>527</v>
      </c>
      <c r="D323" s="39" t="s">
        <v>528</v>
      </c>
      <c r="E323" s="40">
        <v>44377</v>
      </c>
      <c r="F323" s="41"/>
      <c r="G323" s="42">
        <v>10</v>
      </c>
      <c r="H323" s="43">
        <f t="shared" si="60"/>
        <v>0</v>
      </c>
      <c r="I323" s="41"/>
      <c r="J323" s="41"/>
      <c r="K323" s="41"/>
      <c r="L323" s="41"/>
      <c r="M323" s="41"/>
      <c r="N323" s="43">
        <f t="shared" si="61"/>
        <v>0</v>
      </c>
      <c r="O323" s="41"/>
      <c r="P323" s="44"/>
      <c r="Q323" s="44"/>
      <c r="R323" s="45">
        <f t="shared" si="62"/>
        <v>0</v>
      </c>
      <c r="S323" s="46"/>
    </row>
    <row r="324" spans="2:19" ht="15.75" x14ac:dyDescent="0.25">
      <c r="B324" s="72">
        <f t="shared" si="63"/>
        <v>11</v>
      </c>
      <c r="C324" s="72" t="s">
        <v>529</v>
      </c>
      <c r="D324" s="39" t="s">
        <v>530</v>
      </c>
      <c r="E324" s="40">
        <v>44377</v>
      </c>
      <c r="F324" s="41"/>
      <c r="G324" s="42">
        <v>10</v>
      </c>
      <c r="H324" s="43">
        <f t="shared" si="60"/>
        <v>0</v>
      </c>
      <c r="I324" s="41"/>
      <c r="J324" s="41"/>
      <c r="K324" s="41"/>
      <c r="L324" s="41"/>
      <c r="M324" s="41"/>
      <c r="N324" s="43">
        <f t="shared" si="61"/>
        <v>0</v>
      </c>
      <c r="O324" s="41"/>
      <c r="P324" s="44"/>
      <c r="Q324" s="44"/>
      <c r="R324" s="45">
        <f t="shared" si="62"/>
        <v>0</v>
      </c>
      <c r="S324" s="46"/>
    </row>
    <row r="325" spans="2:19" ht="15.75" x14ac:dyDescent="0.25">
      <c r="B325" s="72">
        <f t="shared" si="63"/>
        <v>12</v>
      </c>
      <c r="C325" s="72" t="s">
        <v>531</v>
      </c>
      <c r="D325" s="39" t="s">
        <v>532</v>
      </c>
      <c r="E325" s="40">
        <v>44377</v>
      </c>
      <c r="F325" s="41"/>
      <c r="G325" s="42">
        <v>10</v>
      </c>
      <c r="H325" s="43">
        <f t="shared" si="60"/>
        <v>0</v>
      </c>
      <c r="I325" s="41"/>
      <c r="J325" s="41"/>
      <c r="K325" s="41"/>
      <c r="L325" s="41"/>
      <c r="M325" s="41"/>
      <c r="N325" s="43">
        <f t="shared" si="61"/>
        <v>0</v>
      </c>
      <c r="O325" s="41"/>
      <c r="P325" s="44"/>
      <c r="Q325" s="44"/>
      <c r="R325" s="45">
        <f t="shared" si="62"/>
        <v>0</v>
      </c>
      <c r="S325" s="46"/>
    </row>
    <row r="326" spans="2:19" ht="15.75" x14ac:dyDescent="0.25">
      <c r="B326" s="72">
        <f t="shared" si="63"/>
        <v>13</v>
      </c>
      <c r="C326" s="72" t="s">
        <v>533</v>
      </c>
      <c r="D326" s="39" t="s">
        <v>534</v>
      </c>
      <c r="E326" s="40">
        <v>44377</v>
      </c>
      <c r="F326" s="41"/>
      <c r="G326" s="42">
        <v>10</v>
      </c>
      <c r="H326" s="43">
        <f t="shared" si="60"/>
        <v>0</v>
      </c>
      <c r="I326" s="41"/>
      <c r="J326" s="41"/>
      <c r="K326" s="41"/>
      <c r="L326" s="41"/>
      <c r="M326" s="41"/>
      <c r="N326" s="43">
        <f t="shared" si="61"/>
        <v>0</v>
      </c>
      <c r="O326" s="41"/>
      <c r="P326" s="44"/>
      <c r="Q326" s="44"/>
      <c r="R326" s="45">
        <f t="shared" si="62"/>
        <v>0</v>
      </c>
      <c r="S326" s="46"/>
    </row>
    <row r="327" spans="2:19" ht="15.75" x14ac:dyDescent="0.25">
      <c r="B327" s="72">
        <f t="shared" si="63"/>
        <v>14</v>
      </c>
      <c r="C327" s="72" t="s">
        <v>535</v>
      </c>
      <c r="D327" s="39" t="s">
        <v>536</v>
      </c>
      <c r="E327" s="40">
        <v>44377</v>
      </c>
      <c r="F327" s="41"/>
      <c r="G327" s="42">
        <v>10</v>
      </c>
      <c r="H327" s="43">
        <f t="shared" si="60"/>
        <v>0</v>
      </c>
      <c r="I327" s="41"/>
      <c r="J327" s="41"/>
      <c r="K327" s="41"/>
      <c r="L327" s="41"/>
      <c r="M327" s="41"/>
      <c r="N327" s="43">
        <f t="shared" si="61"/>
        <v>0</v>
      </c>
      <c r="O327" s="41"/>
      <c r="P327" s="44"/>
      <c r="Q327" s="44"/>
      <c r="R327" s="45">
        <f t="shared" si="62"/>
        <v>0</v>
      </c>
      <c r="S327" s="46"/>
    </row>
    <row r="328" spans="2:19" ht="15.75" x14ac:dyDescent="0.25">
      <c r="B328" s="72">
        <f t="shared" si="63"/>
        <v>15</v>
      </c>
      <c r="C328" s="72" t="s">
        <v>537</v>
      </c>
      <c r="D328" s="39" t="s">
        <v>538</v>
      </c>
      <c r="E328" s="40">
        <v>44377</v>
      </c>
      <c r="F328" s="41">
        <v>98.6</v>
      </c>
      <c r="G328" s="42">
        <v>10</v>
      </c>
      <c r="H328" s="43">
        <f t="shared" si="60"/>
        <v>9.86</v>
      </c>
      <c r="I328" s="41">
        <v>-67.552430999999999</v>
      </c>
      <c r="J328" s="41">
        <v>69.120923000000005</v>
      </c>
      <c r="K328" s="41">
        <v>0</v>
      </c>
      <c r="L328" s="41">
        <v>3.7399999999999998E-4</v>
      </c>
      <c r="M328" s="41">
        <v>-5.0169550000000003</v>
      </c>
      <c r="N328" s="43">
        <f t="shared" si="61"/>
        <v>-0.391737</v>
      </c>
      <c r="O328" s="41">
        <v>-4.6252180000000003</v>
      </c>
      <c r="P328" s="44">
        <v>0</v>
      </c>
      <c r="Q328" s="44">
        <v>0</v>
      </c>
      <c r="R328" s="45">
        <f t="shared" si="62"/>
        <v>0</v>
      </c>
      <c r="S328" s="46">
        <v>6137</v>
      </c>
    </row>
    <row r="329" spans="2:19" ht="15.75" x14ac:dyDescent="0.25">
      <c r="B329" s="75"/>
      <c r="C329" s="75"/>
      <c r="D329" s="48"/>
      <c r="E329" s="49"/>
      <c r="F329" s="50"/>
      <c r="G329" s="51"/>
      <c r="H329" s="52"/>
      <c r="I329" s="50"/>
      <c r="J329" s="50"/>
      <c r="K329" s="50"/>
      <c r="L329" s="50"/>
      <c r="M329" s="50"/>
      <c r="N329" s="52"/>
      <c r="O329" s="50"/>
      <c r="P329" s="53"/>
      <c r="Q329" s="53"/>
      <c r="R329" s="54"/>
      <c r="S329" s="55"/>
    </row>
    <row r="330" spans="2:19" ht="15.75" x14ac:dyDescent="0.25">
      <c r="B330" s="38">
        <f>COUNT(B277:B329)</f>
        <v>50</v>
      </c>
      <c r="C330" s="38"/>
      <c r="D330" s="60"/>
      <c r="E330" s="40"/>
      <c r="F330" s="60">
        <f>SUM(F277:F329)</f>
        <v>39869.511058000004</v>
      </c>
      <c r="G330" s="61"/>
      <c r="H330" s="62">
        <f t="shared" ref="H330:O330" si="64">SUM(H277:H329)</f>
        <v>3986.9511058000007</v>
      </c>
      <c r="I330" s="60">
        <f t="shared" si="64"/>
        <v>374865.24432099989</v>
      </c>
      <c r="J330" s="60">
        <f t="shared" si="64"/>
        <v>839636.22993499995</v>
      </c>
      <c r="K330" s="60">
        <f t="shared" si="64"/>
        <v>716311.09606899996</v>
      </c>
      <c r="L330" s="60">
        <f t="shared" si="64"/>
        <v>18848.137072999998</v>
      </c>
      <c r="M330" s="60">
        <f t="shared" si="64"/>
        <v>75035.568413999994</v>
      </c>
      <c r="N330" s="63">
        <f t="shared" si="64"/>
        <v>9632.7210049999976</v>
      </c>
      <c r="O330" s="60">
        <f t="shared" si="64"/>
        <v>65402.847409000009</v>
      </c>
      <c r="P330" s="64"/>
      <c r="Q330" s="64"/>
      <c r="R330" s="65"/>
      <c r="S330" s="66">
        <f>SUM(S277:S329)</f>
        <v>81878</v>
      </c>
    </row>
    <row r="331" spans="2:19" ht="15.75" x14ac:dyDescent="0.25">
      <c r="B331" s="75"/>
      <c r="C331" s="75"/>
      <c r="D331" s="48"/>
      <c r="E331" s="49"/>
      <c r="F331" s="50"/>
      <c r="G331" s="51"/>
      <c r="H331" s="52"/>
      <c r="I331" s="50"/>
      <c r="J331" s="50"/>
      <c r="K331" s="50"/>
      <c r="L331" s="50"/>
      <c r="M331" s="50"/>
      <c r="N331" s="52"/>
      <c r="O331" s="50"/>
      <c r="P331" s="53"/>
      <c r="Q331" s="53"/>
      <c r="R331" s="54"/>
      <c r="S331" s="55"/>
    </row>
    <row r="332" spans="2:19" ht="15.75" x14ac:dyDescent="0.25">
      <c r="B332" s="75"/>
      <c r="C332" s="75"/>
      <c r="D332" s="48"/>
      <c r="E332" s="49"/>
      <c r="F332" s="50"/>
      <c r="G332" s="51"/>
      <c r="H332" s="52"/>
      <c r="I332" s="50"/>
      <c r="J332" s="50"/>
      <c r="K332" s="50"/>
      <c r="L332" s="50"/>
      <c r="M332" s="50"/>
      <c r="N332" s="52"/>
      <c r="O332" s="50"/>
      <c r="P332" s="53"/>
      <c r="Q332" s="53"/>
      <c r="R332" s="54"/>
      <c r="S332" s="55"/>
    </row>
    <row r="333" spans="2:19" ht="18.75" x14ac:dyDescent="0.3">
      <c r="B333" s="32"/>
      <c r="C333" s="37">
        <v>11</v>
      </c>
      <c r="D333" s="37" t="s">
        <v>539</v>
      </c>
      <c r="E333" s="73"/>
      <c r="F333" s="74"/>
      <c r="G333" s="51"/>
      <c r="H333" s="57"/>
      <c r="I333" s="35"/>
      <c r="J333" s="35"/>
      <c r="K333" s="35"/>
      <c r="L333" s="35"/>
      <c r="M333" s="35"/>
      <c r="N333" s="58"/>
      <c r="O333" s="35"/>
      <c r="P333" s="35"/>
      <c r="Q333" s="35"/>
      <c r="R333" s="58"/>
      <c r="S333" s="35"/>
    </row>
    <row r="334" spans="2:19" ht="15.75" x14ac:dyDescent="0.25">
      <c r="B334" s="75"/>
      <c r="C334" s="75"/>
      <c r="D334" s="48"/>
      <c r="E334" s="49"/>
      <c r="F334" s="50"/>
      <c r="G334" s="51"/>
      <c r="H334" s="52"/>
      <c r="I334" s="50"/>
      <c r="J334" s="50"/>
      <c r="K334" s="50"/>
      <c r="L334" s="50"/>
      <c r="M334" s="50"/>
      <c r="N334" s="52"/>
      <c r="O334" s="50"/>
      <c r="P334" s="53"/>
      <c r="Q334" s="53"/>
      <c r="R334" s="54"/>
      <c r="S334" s="55"/>
    </row>
    <row r="335" spans="2:19" ht="15.75" x14ac:dyDescent="0.25">
      <c r="B335" s="72">
        <v>1</v>
      </c>
      <c r="C335" s="72" t="s">
        <v>540</v>
      </c>
      <c r="D335" s="39" t="s">
        <v>541</v>
      </c>
      <c r="E335" s="40">
        <v>44377</v>
      </c>
      <c r="F335" s="41">
        <v>95.063000000000002</v>
      </c>
      <c r="G335" s="42">
        <v>10</v>
      </c>
      <c r="H335" s="43">
        <f>+F335/G335</f>
        <v>9.5062999999999995</v>
      </c>
      <c r="I335" s="41">
        <v>2826.8510000000001</v>
      </c>
      <c r="J335" s="41">
        <v>3475.7</v>
      </c>
      <c r="K335" s="41">
        <v>699.13499999999999</v>
      </c>
      <c r="L335" s="41">
        <v>34.805999999999997</v>
      </c>
      <c r="M335" s="41">
        <v>99.95</v>
      </c>
      <c r="N335" s="43">
        <f>+M335-O335</f>
        <v>4.2280000000000086</v>
      </c>
      <c r="O335" s="41">
        <v>95.721999999999994</v>
      </c>
      <c r="P335" s="44">
        <v>0</v>
      </c>
      <c r="Q335" s="44">
        <v>0</v>
      </c>
      <c r="R335" s="45">
        <f>SUM(P335:Q335)</f>
        <v>0</v>
      </c>
      <c r="S335" s="46">
        <v>1075</v>
      </c>
    </row>
    <row r="336" spans="2:19" ht="15.75" x14ac:dyDescent="0.25">
      <c r="B336" s="75"/>
      <c r="C336" s="75"/>
      <c r="D336" s="48"/>
      <c r="E336" s="49"/>
      <c r="F336" s="50"/>
      <c r="G336" s="51"/>
      <c r="H336" s="52"/>
      <c r="I336" s="50"/>
      <c r="J336" s="50"/>
      <c r="K336" s="50"/>
      <c r="L336" s="50"/>
      <c r="M336" s="50"/>
      <c r="N336" s="52"/>
      <c r="O336" s="50"/>
      <c r="P336" s="53"/>
      <c r="Q336" s="53"/>
      <c r="R336" s="54"/>
      <c r="S336" s="55"/>
    </row>
    <row r="337" spans="2:19" ht="15.75" x14ac:dyDescent="0.25">
      <c r="B337" s="38">
        <f>COUNT(B335:B336)</f>
        <v>1</v>
      </c>
      <c r="C337" s="38"/>
      <c r="D337" s="60"/>
      <c r="E337" s="40"/>
      <c r="F337" s="60">
        <f>SUM(F335:F336)</f>
        <v>95.063000000000002</v>
      </c>
      <c r="G337" s="61"/>
      <c r="H337" s="62">
        <f t="shared" ref="H337:O337" si="65">SUM(H335:H336)</f>
        <v>9.5062999999999995</v>
      </c>
      <c r="I337" s="60">
        <f t="shared" si="65"/>
        <v>2826.8510000000001</v>
      </c>
      <c r="J337" s="60">
        <f t="shared" si="65"/>
        <v>3475.7</v>
      </c>
      <c r="K337" s="60">
        <f t="shared" si="65"/>
        <v>699.13499999999999</v>
      </c>
      <c r="L337" s="60">
        <f t="shared" si="65"/>
        <v>34.805999999999997</v>
      </c>
      <c r="M337" s="60">
        <f t="shared" si="65"/>
        <v>99.95</v>
      </c>
      <c r="N337" s="63">
        <f t="shared" si="65"/>
        <v>4.2280000000000086</v>
      </c>
      <c r="O337" s="60">
        <f t="shared" si="65"/>
        <v>95.721999999999994</v>
      </c>
      <c r="P337" s="64"/>
      <c r="Q337" s="64"/>
      <c r="R337" s="65"/>
      <c r="S337" s="66">
        <f>SUM(S335:S336)</f>
        <v>1075</v>
      </c>
    </row>
    <row r="338" spans="2:19" ht="15.75" x14ac:dyDescent="0.25">
      <c r="B338" s="75"/>
      <c r="C338" s="75"/>
      <c r="D338" s="48"/>
      <c r="E338" s="49"/>
      <c r="F338" s="50"/>
      <c r="G338" s="51"/>
      <c r="H338" s="52"/>
      <c r="I338" s="50"/>
      <c r="J338" s="50"/>
      <c r="K338" s="50"/>
      <c r="L338" s="50"/>
      <c r="M338" s="50"/>
      <c r="N338" s="52"/>
      <c r="O338" s="50"/>
      <c r="P338" s="53"/>
      <c r="Q338" s="53"/>
      <c r="R338" s="54"/>
      <c r="S338" s="55"/>
    </row>
    <row r="339" spans="2:19" ht="15.75" x14ac:dyDescent="0.25">
      <c r="B339" s="75"/>
      <c r="C339" s="75"/>
      <c r="D339" s="48"/>
      <c r="E339" s="49"/>
      <c r="F339" s="50"/>
      <c r="G339" s="51"/>
      <c r="H339" s="52"/>
      <c r="I339" s="50"/>
      <c r="J339" s="50"/>
      <c r="K339" s="50"/>
      <c r="L339" s="50"/>
      <c r="M339" s="50"/>
      <c r="N339" s="52"/>
      <c r="O339" s="50"/>
      <c r="P339" s="53"/>
      <c r="Q339" s="53"/>
      <c r="R339" s="54"/>
      <c r="S339" s="55"/>
    </row>
    <row r="340" spans="2:19" ht="18.75" x14ac:dyDescent="0.3">
      <c r="B340" s="32"/>
      <c r="C340" s="37">
        <v>12</v>
      </c>
      <c r="D340" s="37" t="s">
        <v>542</v>
      </c>
      <c r="E340" s="73"/>
      <c r="F340" s="74"/>
      <c r="G340" s="51"/>
      <c r="H340" s="57"/>
      <c r="I340" s="35"/>
      <c r="J340" s="35"/>
      <c r="K340" s="35"/>
      <c r="L340" s="35"/>
      <c r="M340" s="35"/>
      <c r="N340" s="58"/>
      <c r="O340" s="35"/>
      <c r="P340" s="35"/>
      <c r="Q340" s="35"/>
      <c r="R340" s="58"/>
      <c r="S340" s="35"/>
    </row>
    <row r="341" spans="2:19" ht="15.75" x14ac:dyDescent="0.25">
      <c r="B341" s="75"/>
      <c r="C341" s="75"/>
      <c r="D341" s="48"/>
      <c r="E341" s="49"/>
      <c r="F341" s="50"/>
      <c r="G341" s="51"/>
      <c r="H341" s="52"/>
      <c r="I341" s="50"/>
      <c r="J341" s="50"/>
      <c r="K341" s="50"/>
      <c r="L341" s="50"/>
      <c r="M341" s="50"/>
      <c r="N341" s="52"/>
      <c r="O341" s="50"/>
      <c r="P341" s="53"/>
      <c r="Q341" s="53"/>
      <c r="R341" s="54"/>
      <c r="S341" s="55"/>
    </row>
    <row r="342" spans="2:19" ht="15.75" x14ac:dyDescent="0.25">
      <c r="B342" s="72">
        <v>1</v>
      </c>
      <c r="C342" s="72" t="s">
        <v>543</v>
      </c>
      <c r="D342" s="39" t="s">
        <v>544</v>
      </c>
      <c r="E342" s="40">
        <v>44377</v>
      </c>
      <c r="F342" s="41">
        <v>383.64499999999998</v>
      </c>
      <c r="G342" s="42">
        <v>10</v>
      </c>
      <c r="H342" s="43">
        <f t="shared" ref="H342:H347" si="66">+F342/G342</f>
        <v>38.3645</v>
      </c>
      <c r="I342" s="41">
        <v>6955.152</v>
      </c>
      <c r="J342" s="41">
        <v>14860.32</v>
      </c>
      <c r="K342" s="41">
        <v>16557.561000000002</v>
      </c>
      <c r="L342" s="41">
        <v>127.20399999999999</v>
      </c>
      <c r="M342" s="41">
        <v>1301.7650000000001</v>
      </c>
      <c r="N342" s="43">
        <f t="shared" ref="N342:N347" si="67">+M342-O342</f>
        <v>236.04100000000017</v>
      </c>
      <c r="O342" s="41">
        <v>1065.7239999999999</v>
      </c>
      <c r="P342" s="44">
        <v>0</v>
      </c>
      <c r="Q342" s="44">
        <v>0</v>
      </c>
      <c r="R342" s="45">
        <f t="shared" ref="R342:R346" si="68">SUM(P342:Q342)</f>
        <v>0</v>
      </c>
      <c r="S342" s="46">
        <v>1238</v>
      </c>
    </row>
    <row r="343" spans="2:19" ht="15.75" x14ac:dyDescent="0.25">
      <c r="B343" s="72">
        <f t="shared" ref="B343:B348" si="69">+B342+1</f>
        <v>2</v>
      </c>
      <c r="C343" s="72" t="s">
        <v>545</v>
      </c>
      <c r="D343" s="39" t="s">
        <v>546</v>
      </c>
      <c r="E343" s="40">
        <v>44377</v>
      </c>
      <c r="F343" s="41">
        <v>3105.0699500000001</v>
      </c>
      <c r="G343" s="42">
        <v>10</v>
      </c>
      <c r="H343" s="43">
        <f t="shared" si="66"/>
        <v>310.50699500000002</v>
      </c>
      <c r="I343" s="41">
        <v>44372.691570000003</v>
      </c>
      <c r="J343" s="41">
        <f>40862.918471+20698.272102</f>
        <v>61561.190573</v>
      </c>
      <c r="K343" s="41">
        <v>70607.072729000007</v>
      </c>
      <c r="L343" s="41">
        <v>958.53945299999998</v>
      </c>
      <c r="M343" s="41">
        <v>9453.8546279999991</v>
      </c>
      <c r="N343" s="43">
        <f t="shared" si="67"/>
        <v>2874.9064789999993</v>
      </c>
      <c r="O343" s="41">
        <v>6578.9481489999998</v>
      </c>
      <c r="P343" s="44">
        <v>20</v>
      </c>
      <c r="Q343" s="44">
        <v>0</v>
      </c>
      <c r="R343" s="45">
        <f t="shared" si="68"/>
        <v>20</v>
      </c>
      <c r="S343" s="46">
        <v>2055</v>
      </c>
    </row>
    <row r="344" spans="2:19" ht="15.75" x14ac:dyDescent="0.25">
      <c r="B344" s="72">
        <f t="shared" si="69"/>
        <v>3</v>
      </c>
      <c r="C344" s="72" t="s">
        <v>547</v>
      </c>
      <c r="D344" s="39" t="s">
        <v>548</v>
      </c>
      <c r="E344" s="40">
        <v>44377</v>
      </c>
      <c r="F344" s="41">
        <v>568.79201</v>
      </c>
      <c r="G344" s="42">
        <v>10</v>
      </c>
      <c r="H344" s="43">
        <f t="shared" si="66"/>
        <v>56.879201000000002</v>
      </c>
      <c r="I344" s="41">
        <v>1219.0217560000001</v>
      </c>
      <c r="J344" s="41">
        <v>2070.7592340000001</v>
      </c>
      <c r="K344" s="41">
        <v>1001.848809</v>
      </c>
      <c r="L344" s="41">
        <v>35.660361000000002</v>
      </c>
      <c r="M344" s="41">
        <v>155.43652900000001</v>
      </c>
      <c r="N344" s="43">
        <f t="shared" si="67"/>
        <v>40.337211000000011</v>
      </c>
      <c r="O344" s="41">
        <v>115.099318</v>
      </c>
      <c r="P344" s="44">
        <v>10</v>
      </c>
      <c r="Q344" s="44">
        <v>0</v>
      </c>
      <c r="R344" s="45">
        <f t="shared" si="68"/>
        <v>10</v>
      </c>
      <c r="S344" s="46">
        <v>5026</v>
      </c>
    </row>
    <row r="345" spans="2:19" ht="15.75" x14ac:dyDescent="0.25">
      <c r="B345" s="72">
        <f t="shared" si="69"/>
        <v>4</v>
      </c>
      <c r="C345" s="72" t="s">
        <v>549</v>
      </c>
      <c r="D345" s="39" t="s">
        <v>550</v>
      </c>
      <c r="E345" s="40">
        <v>44377</v>
      </c>
      <c r="F345" s="41">
        <v>155.53174000000001</v>
      </c>
      <c r="G345" s="42">
        <v>10</v>
      </c>
      <c r="H345" s="43">
        <f t="shared" si="66"/>
        <v>15.553174000000002</v>
      </c>
      <c r="I345" s="41">
        <v>851.48904500000003</v>
      </c>
      <c r="J345" s="41">
        <v>1289.089342</v>
      </c>
      <c r="K345" s="41">
        <v>1087.0446669999999</v>
      </c>
      <c r="L345" s="41">
        <v>7.495101</v>
      </c>
      <c r="M345" s="41">
        <v>56.491860000000003</v>
      </c>
      <c r="N345" s="43">
        <f t="shared" si="67"/>
        <v>11.404487000000003</v>
      </c>
      <c r="O345" s="41">
        <v>45.087372999999999</v>
      </c>
      <c r="P345" s="44">
        <v>0</v>
      </c>
      <c r="Q345" s="44">
        <v>0</v>
      </c>
      <c r="R345" s="45">
        <f t="shared" si="68"/>
        <v>0</v>
      </c>
      <c r="S345" s="46">
        <v>598</v>
      </c>
    </row>
    <row r="346" spans="2:19" ht="15.75" x14ac:dyDescent="0.25">
      <c r="B346" s="72">
        <f t="shared" si="69"/>
        <v>5</v>
      </c>
      <c r="C346" s="72" t="s">
        <v>551</v>
      </c>
      <c r="D346" s="39" t="s">
        <v>552</v>
      </c>
      <c r="E346" s="40">
        <v>44377</v>
      </c>
      <c r="F346" s="41">
        <v>840.6</v>
      </c>
      <c r="G346" s="42">
        <v>10</v>
      </c>
      <c r="H346" s="43">
        <f t="shared" si="66"/>
        <v>84.06</v>
      </c>
      <c r="I346" s="41">
        <v>2344.8789999999999</v>
      </c>
      <c r="J346" s="41">
        <v>5704.77</v>
      </c>
      <c r="K346" s="41">
        <v>7250.5940000000001</v>
      </c>
      <c r="L346" s="41">
        <v>189.464</v>
      </c>
      <c r="M346" s="41">
        <v>1055.4369999999999</v>
      </c>
      <c r="N346" s="43">
        <f t="shared" si="67"/>
        <v>307.07099999999991</v>
      </c>
      <c r="O346" s="41">
        <v>748.36599999999999</v>
      </c>
      <c r="P346" s="44">
        <v>25</v>
      </c>
      <c r="Q346" s="44">
        <v>10</v>
      </c>
      <c r="R346" s="45">
        <f t="shared" si="68"/>
        <v>35</v>
      </c>
      <c r="S346" s="46">
        <v>1354</v>
      </c>
    </row>
    <row r="347" spans="2:19" ht="15.75" x14ac:dyDescent="0.25">
      <c r="B347" s="72">
        <f t="shared" si="69"/>
        <v>6</v>
      </c>
      <c r="C347" s="72" t="s">
        <v>553</v>
      </c>
      <c r="D347" s="39" t="s">
        <v>554</v>
      </c>
      <c r="E347" s="40">
        <v>44377</v>
      </c>
      <c r="F347" s="41">
        <v>340.685</v>
      </c>
      <c r="G347" s="42">
        <v>10</v>
      </c>
      <c r="H347" s="43">
        <f t="shared" si="66"/>
        <v>34.0685</v>
      </c>
      <c r="I347" s="41">
        <v>2885.8710000000001</v>
      </c>
      <c r="J347" s="41">
        <v>6501.5529999999999</v>
      </c>
      <c r="K347" s="41">
        <v>7554.4290000000001</v>
      </c>
      <c r="L347" s="41">
        <v>139.08600000000001</v>
      </c>
      <c r="M347" s="41">
        <v>546.03599999999994</v>
      </c>
      <c r="N347" s="43">
        <f t="shared" si="67"/>
        <v>92.823999999999955</v>
      </c>
      <c r="O347" s="41">
        <v>453.21199999999999</v>
      </c>
      <c r="P347" s="44">
        <v>50</v>
      </c>
      <c r="Q347" s="44">
        <v>0</v>
      </c>
      <c r="R347" s="45">
        <f t="shared" ref="R347" si="70">SUM(P347:Q347)</f>
        <v>50</v>
      </c>
      <c r="S347" s="46">
        <v>507</v>
      </c>
    </row>
    <row r="348" spans="2:19" ht="15.75" x14ac:dyDescent="0.25">
      <c r="B348" s="72">
        <f t="shared" si="69"/>
        <v>7</v>
      </c>
      <c r="C348" s="72" t="s">
        <v>555</v>
      </c>
      <c r="D348" s="39" t="s">
        <v>556</v>
      </c>
      <c r="E348" s="40">
        <v>44377</v>
      </c>
      <c r="F348" s="41">
        <v>150</v>
      </c>
      <c r="G348" s="42">
        <v>10</v>
      </c>
      <c r="H348" s="43">
        <f>+F348/G348</f>
        <v>15</v>
      </c>
      <c r="I348" s="41"/>
      <c r="J348" s="41"/>
      <c r="K348" s="41"/>
      <c r="L348" s="41"/>
      <c r="M348" s="41">
        <v>-0.98</v>
      </c>
      <c r="N348" s="43">
        <f>+M348-O348</f>
        <v>10.942</v>
      </c>
      <c r="O348" s="41">
        <v>-11.922000000000001</v>
      </c>
      <c r="P348" s="44">
        <v>0</v>
      </c>
      <c r="Q348" s="44">
        <v>0</v>
      </c>
      <c r="R348" s="45">
        <f>SUM(P348:Q348)</f>
        <v>0</v>
      </c>
      <c r="S348" s="46"/>
    </row>
    <row r="349" spans="2:19" ht="15.75" x14ac:dyDescent="0.25">
      <c r="B349" s="75"/>
      <c r="C349" s="75"/>
      <c r="D349" s="48"/>
      <c r="E349" s="49"/>
      <c r="F349" s="50"/>
      <c r="G349" s="51"/>
      <c r="H349" s="52"/>
      <c r="I349" s="50"/>
      <c r="J349" s="50"/>
      <c r="K349" s="50"/>
      <c r="L349" s="50"/>
      <c r="M349" s="50"/>
      <c r="N349" s="52"/>
      <c r="O349" s="50"/>
      <c r="P349" s="53"/>
      <c r="Q349" s="53"/>
      <c r="R349" s="54"/>
      <c r="S349" s="55"/>
    </row>
    <row r="350" spans="2:19" ht="18.75" x14ac:dyDescent="0.3">
      <c r="B350" s="32"/>
      <c r="C350" s="32"/>
      <c r="D350" s="68" t="s">
        <v>41</v>
      </c>
      <c r="E350" s="33"/>
      <c r="F350" s="32"/>
      <c r="G350" s="51"/>
      <c r="H350" s="57"/>
      <c r="I350" s="35"/>
      <c r="J350" s="35"/>
      <c r="K350" s="35"/>
      <c r="L350" s="35"/>
      <c r="M350" s="35"/>
      <c r="N350" s="58"/>
      <c r="O350" s="35"/>
      <c r="P350" s="35"/>
      <c r="Q350" s="35"/>
      <c r="R350" s="58"/>
      <c r="S350" s="35"/>
    </row>
    <row r="351" spans="2:19" ht="15.75" x14ac:dyDescent="0.25">
      <c r="B351" s="72">
        <v>1</v>
      </c>
      <c r="C351" s="38" t="s">
        <v>557</v>
      </c>
      <c r="D351" s="39" t="s">
        <v>558</v>
      </c>
      <c r="E351" s="40">
        <v>44377</v>
      </c>
      <c r="F351" s="41">
        <v>134.09549999999999</v>
      </c>
      <c r="G351" s="42">
        <v>10</v>
      </c>
      <c r="H351" s="43">
        <f>+F351/G351</f>
        <v>13.409549999999999</v>
      </c>
      <c r="I351" s="41">
        <v>-1723.4969570000001</v>
      </c>
      <c r="J351" s="41">
        <v>1393.4692990000001</v>
      </c>
      <c r="K351" s="41">
        <v>0</v>
      </c>
      <c r="L351" s="41">
        <v>1.486083</v>
      </c>
      <c r="M351" s="41">
        <v>605.44054200000005</v>
      </c>
      <c r="N351" s="43">
        <f>+M351-O351</f>
        <v>0.18298100000004069</v>
      </c>
      <c r="O351" s="41">
        <v>605.25756100000001</v>
      </c>
      <c r="P351" s="44">
        <v>0</v>
      </c>
      <c r="Q351" s="44">
        <v>0</v>
      </c>
      <c r="R351" s="45">
        <f>SUM(P351:Q351)</f>
        <v>0</v>
      </c>
      <c r="S351" s="46">
        <v>724</v>
      </c>
    </row>
    <row r="352" spans="2:19" ht="15.75" x14ac:dyDescent="0.25">
      <c r="B352" s="72">
        <f>+B351+1</f>
        <v>2</v>
      </c>
      <c r="C352" s="72" t="s">
        <v>559</v>
      </c>
      <c r="D352" s="39" t="s">
        <v>560</v>
      </c>
      <c r="E352" s="40">
        <v>44377</v>
      </c>
      <c r="F352" s="41">
        <v>3663.2109999999998</v>
      </c>
      <c r="G352" s="42">
        <v>10</v>
      </c>
      <c r="H352" s="43">
        <f>+F352/G352</f>
        <v>366.3211</v>
      </c>
      <c r="I352" s="41">
        <v>-13158.74</v>
      </c>
      <c r="J352" s="41">
        <v>7473.5519999999997</v>
      </c>
      <c r="K352" s="41">
        <v>0</v>
      </c>
      <c r="L352" s="41">
        <v>27.777999999999999</v>
      </c>
      <c r="M352" s="41">
        <v>-489.00200000000001</v>
      </c>
      <c r="N352" s="43">
        <f>+M352-O352</f>
        <v>-88.15100000000001</v>
      </c>
      <c r="O352" s="41">
        <v>-400.851</v>
      </c>
      <c r="P352" s="44">
        <v>0</v>
      </c>
      <c r="Q352" s="44">
        <v>0</v>
      </c>
      <c r="R352" s="45">
        <f>SUM(P352:Q352)</f>
        <v>0</v>
      </c>
      <c r="S352" s="46">
        <v>21007</v>
      </c>
    </row>
    <row r="353" spans="2:19" ht="15.75" x14ac:dyDescent="0.25">
      <c r="B353" s="72">
        <f t="shared" ref="B353" si="71">+B352+1</f>
        <v>3</v>
      </c>
      <c r="C353" s="72" t="s">
        <v>561</v>
      </c>
      <c r="D353" s="39" t="s">
        <v>562</v>
      </c>
      <c r="E353" s="40">
        <v>44377</v>
      </c>
      <c r="F353" s="41"/>
      <c r="G353" s="42">
        <v>10</v>
      </c>
      <c r="H353" s="43">
        <f>+F353/G353</f>
        <v>0</v>
      </c>
      <c r="I353" s="41"/>
      <c r="J353" s="41"/>
      <c r="K353" s="41"/>
      <c r="L353" s="41"/>
      <c r="M353" s="41"/>
      <c r="N353" s="43">
        <f>+M353-O353</f>
        <v>0</v>
      </c>
      <c r="O353" s="41"/>
      <c r="P353" s="44"/>
      <c r="Q353" s="44"/>
      <c r="R353" s="45">
        <f>SUM(P353:Q353)</f>
        <v>0</v>
      </c>
      <c r="S353" s="46"/>
    </row>
    <row r="354" spans="2:19" ht="15.75" x14ac:dyDescent="0.25">
      <c r="B354" s="75"/>
      <c r="C354" s="75"/>
      <c r="D354" s="48"/>
      <c r="E354" s="49"/>
      <c r="F354" s="50"/>
      <c r="G354" s="51"/>
      <c r="H354" s="52"/>
      <c r="I354" s="50"/>
      <c r="J354" s="50"/>
      <c r="K354" s="50"/>
      <c r="L354" s="50"/>
      <c r="M354" s="50"/>
      <c r="N354" s="52"/>
      <c r="O354" s="50"/>
      <c r="P354" s="53"/>
      <c r="Q354" s="53"/>
      <c r="R354" s="54"/>
      <c r="S354" s="55"/>
    </row>
    <row r="355" spans="2:19" ht="15.75" x14ac:dyDescent="0.25">
      <c r="B355" s="38">
        <f>COUNT(B342:B354)</f>
        <v>10</v>
      </c>
      <c r="C355" s="38"/>
      <c r="D355" s="60"/>
      <c r="E355" s="40"/>
      <c r="F355" s="60">
        <f>SUM(F342:F354)</f>
        <v>9341.6302000000014</v>
      </c>
      <c r="G355" s="61"/>
      <c r="H355" s="62">
        <f t="shared" ref="H355:O355" si="72">SUM(H342:H354)</f>
        <v>934.16302000000007</v>
      </c>
      <c r="I355" s="60">
        <f t="shared" si="72"/>
        <v>43746.867414000008</v>
      </c>
      <c r="J355" s="60">
        <f t="shared" si="72"/>
        <v>100854.70344800001</v>
      </c>
      <c r="K355" s="60">
        <f t="shared" si="72"/>
        <v>104058.55020500001</v>
      </c>
      <c r="L355" s="60">
        <f t="shared" si="72"/>
        <v>1486.712998</v>
      </c>
      <c r="M355" s="60">
        <f t="shared" si="72"/>
        <v>12684.479558999999</v>
      </c>
      <c r="N355" s="63">
        <f t="shared" si="72"/>
        <v>3485.5581579999994</v>
      </c>
      <c r="O355" s="60">
        <f t="shared" si="72"/>
        <v>9198.9214009999978</v>
      </c>
      <c r="P355" s="64"/>
      <c r="Q355" s="64"/>
      <c r="R355" s="65"/>
      <c r="S355" s="66">
        <f>SUM(S342:S354)</f>
        <v>32509</v>
      </c>
    </row>
    <row r="356" spans="2:19" ht="15.75" x14ac:dyDescent="0.25">
      <c r="B356" s="75"/>
      <c r="C356" s="75"/>
      <c r="D356" s="48"/>
      <c r="E356" s="49"/>
      <c r="F356" s="50"/>
      <c r="G356" s="51"/>
      <c r="H356" s="52"/>
      <c r="I356" s="50"/>
      <c r="J356" s="50"/>
      <c r="K356" s="50"/>
      <c r="L356" s="50"/>
      <c r="M356" s="50"/>
      <c r="N356" s="52"/>
      <c r="O356" s="50"/>
      <c r="P356" s="53"/>
      <c r="Q356" s="53"/>
      <c r="R356" s="54"/>
      <c r="S356" s="55"/>
    </row>
    <row r="357" spans="2:19" ht="15.75" x14ac:dyDescent="0.25">
      <c r="B357" s="75"/>
      <c r="C357" s="75"/>
      <c r="D357" s="48"/>
      <c r="E357" s="49"/>
      <c r="F357" s="50"/>
      <c r="G357" s="51"/>
      <c r="H357" s="52"/>
      <c r="I357" s="50"/>
      <c r="J357" s="50"/>
      <c r="K357" s="50"/>
      <c r="L357" s="50"/>
      <c r="M357" s="50"/>
      <c r="N357" s="52"/>
      <c r="O357" s="50"/>
      <c r="P357" s="53"/>
      <c r="Q357" s="53"/>
      <c r="R357" s="54"/>
      <c r="S357" s="55"/>
    </row>
    <row r="358" spans="2:19" ht="18.75" x14ac:dyDescent="0.3">
      <c r="B358" s="32"/>
      <c r="C358" s="37">
        <v>13</v>
      </c>
      <c r="D358" s="37" t="s">
        <v>563</v>
      </c>
      <c r="E358" s="73"/>
      <c r="F358" s="74"/>
      <c r="G358" s="51"/>
      <c r="H358" s="57"/>
      <c r="I358" s="35"/>
      <c r="J358" s="35"/>
      <c r="K358" s="35"/>
      <c r="L358" s="35"/>
      <c r="M358" s="35"/>
      <c r="N358" s="58"/>
      <c r="O358" s="35"/>
      <c r="P358" s="35"/>
      <c r="Q358" s="35"/>
      <c r="R358" s="58"/>
      <c r="S358" s="35"/>
    </row>
    <row r="359" spans="2:19" ht="15.75" x14ac:dyDescent="0.25">
      <c r="B359" s="75"/>
      <c r="C359" s="75"/>
      <c r="D359" s="48"/>
      <c r="E359" s="49"/>
      <c r="F359" s="50"/>
      <c r="G359" s="51"/>
      <c r="H359" s="52"/>
      <c r="I359" s="50"/>
      <c r="J359" s="50"/>
      <c r="K359" s="50"/>
      <c r="L359" s="50"/>
      <c r="M359" s="50"/>
      <c r="N359" s="52"/>
      <c r="O359" s="50"/>
      <c r="P359" s="53"/>
      <c r="Q359" s="53"/>
      <c r="R359" s="54"/>
      <c r="S359" s="55"/>
    </row>
    <row r="360" spans="2:19" ht="18.75" x14ac:dyDescent="0.3">
      <c r="B360" s="75"/>
      <c r="C360" s="75"/>
      <c r="D360" s="68" t="s">
        <v>41</v>
      </c>
      <c r="E360" s="49"/>
      <c r="F360" s="50"/>
      <c r="G360" s="51"/>
      <c r="H360" s="52"/>
      <c r="I360" s="50"/>
      <c r="J360" s="50"/>
      <c r="K360" s="50"/>
      <c r="L360" s="50"/>
      <c r="M360" s="50"/>
      <c r="N360" s="52"/>
      <c r="O360" s="50"/>
      <c r="P360" s="53"/>
      <c r="Q360" s="53"/>
      <c r="R360" s="54"/>
      <c r="S360" s="55"/>
    </row>
    <row r="361" spans="2:19" ht="15.75" x14ac:dyDescent="0.25">
      <c r="B361" s="72">
        <v>1</v>
      </c>
      <c r="C361" s="72" t="s">
        <v>564</v>
      </c>
      <c r="D361" s="39" t="s">
        <v>565</v>
      </c>
      <c r="E361" s="40">
        <v>44377</v>
      </c>
      <c r="F361" s="41">
        <v>237.63468</v>
      </c>
      <c r="G361" s="42">
        <v>10</v>
      </c>
      <c r="H361" s="43">
        <f>+F361/G361</f>
        <v>23.763468</v>
      </c>
      <c r="I361" s="41">
        <v>-230.63998699999999</v>
      </c>
      <c r="J361" s="41">
        <v>58.934685000000002</v>
      </c>
      <c r="K361" s="41">
        <v>0</v>
      </c>
      <c r="L361" s="41">
        <v>2.5410029999999999</v>
      </c>
      <c r="M361" s="41">
        <v>67.459023000000002</v>
      </c>
      <c r="N361" s="43">
        <f>+M361-O361</f>
        <v>11.631402000000001</v>
      </c>
      <c r="O361" s="41">
        <v>55.827621000000001</v>
      </c>
      <c r="P361" s="44">
        <v>0</v>
      </c>
      <c r="Q361" s="44">
        <v>0</v>
      </c>
      <c r="R361" s="45">
        <f>SUM(P361:Q361)</f>
        <v>0</v>
      </c>
      <c r="S361" s="46">
        <v>2163</v>
      </c>
    </row>
    <row r="362" spans="2:19" ht="15.75" x14ac:dyDescent="0.25">
      <c r="B362" s="72">
        <f>+B361+1</f>
        <v>2</v>
      </c>
      <c r="C362" s="72" t="s">
        <v>566</v>
      </c>
      <c r="D362" s="39" t="s">
        <v>567</v>
      </c>
      <c r="E362" s="40">
        <v>44377</v>
      </c>
      <c r="F362" s="41">
        <v>43.328189999999999</v>
      </c>
      <c r="G362" s="42">
        <v>10</v>
      </c>
      <c r="H362" s="43">
        <f>+F362/G362</f>
        <v>4.3328189999999998</v>
      </c>
      <c r="I362" s="41">
        <v>718.84525599999995</v>
      </c>
      <c r="J362" s="41">
        <v>1407.4208229999999</v>
      </c>
      <c r="K362" s="41">
        <v>0</v>
      </c>
      <c r="L362" s="41">
        <v>7.6110059999999997</v>
      </c>
      <c r="M362" s="41">
        <v>-47.286124000000001</v>
      </c>
      <c r="N362" s="43">
        <f>+M362-O362</f>
        <v>0</v>
      </c>
      <c r="O362" s="41">
        <v>-47.286124000000001</v>
      </c>
      <c r="P362" s="44">
        <v>0</v>
      </c>
      <c r="Q362" s="44">
        <v>0</v>
      </c>
      <c r="R362" s="45">
        <f>SUM(P362:Q362)</f>
        <v>0</v>
      </c>
      <c r="S362" s="46">
        <v>1381</v>
      </c>
    </row>
    <row r="363" spans="2:19" ht="15.75" x14ac:dyDescent="0.25">
      <c r="B363" s="72">
        <f>COUNT(B361:B362)</f>
        <v>2</v>
      </c>
      <c r="C363" s="38"/>
      <c r="D363" s="60"/>
      <c r="E363" s="40"/>
      <c r="F363" s="60">
        <f>SUM(F361:F362)</f>
        <v>280.96287000000001</v>
      </c>
      <c r="G363" s="61"/>
      <c r="H363" s="62">
        <f t="shared" ref="H363:O363" si="73">SUM(H361:H362)</f>
        <v>28.096287</v>
      </c>
      <c r="I363" s="60">
        <f t="shared" si="73"/>
        <v>488.20526899999993</v>
      </c>
      <c r="J363" s="60">
        <f t="shared" si="73"/>
        <v>1466.3555079999999</v>
      </c>
      <c r="K363" s="60">
        <f t="shared" si="73"/>
        <v>0</v>
      </c>
      <c r="L363" s="60">
        <f t="shared" si="73"/>
        <v>10.152009</v>
      </c>
      <c r="M363" s="60">
        <f t="shared" si="73"/>
        <v>20.172899000000001</v>
      </c>
      <c r="N363" s="63">
        <f t="shared" si="73"/>
        <v>11.631402000000001</v>
      </c>
      <c r="O363" s="60">
        <f t="shared" si="73"/>
        <v>8.5414969999999997</v>
      </c>
      <c r="P363" s="64"/>
      <c r="Q363" s="64"/>
      <c r="R363" s="65"/>
      <c r="S363" s="66">
        <f>SUM(S361:S362)</f>
        <v>3544</v>
      </c>
    </row>
    <row r="364" spans="2:19" ht="15.75" x14ac:dyDescent="0.25">
      <c r="B364" s="75"/>
      <c r="C364" s="75"/>
      <c r="D364" s="48"/>
      <c r="E364" s="49"/>
      <c r="F364" s="50"/>
      <c r="G364" s="51"/>
      <c r="H364" s="52"/>
      <c r="I364" s="50"/>
      <c r="J364" s="50"/>
      <c r="K364" s="50"/>
      <c r="L364" s="50"/>
      <c r="M364" s="50"/>
      <c r="N364" s="52"/>
      <c r="O364" s="50"/>
      <c r="P364" s="53"/>
      <c r="Q364" s="53"/>
      <c r="R364" s="54"/>
      <c r="S364" s="55"/>
    </row>
    <row r="365" spans="2:19" ht="15.75" x14ac:dyDescent="0.25">
      <c r="B365" s="75"/>
      <c r="C365" s="75"/>
      <c r="D365" s="48"/>
      <c r="E365" s="49"/>
      <c r="F365" s="50"/>
      <c r="G365" s="51"/>
      <c r="H365" s="52"/>
      <c r="I365" s="50"/>
      <c r="J365" s="50"/>
      <c r="K365" s="50"/>
      <c r="L365" s="50"/>
      <c r="M365" s="50"/>
      <c r="N365" s="52"/>
      <c r="O365" s="50"/>
      <c r="P365" s="53"/>
      <c r="Q365" s="53"/>
      <c r="R365" s="54"/>
      <c r="S365" s="55"/>
    </row>
    <row r="366" spans="2:19" ht="18.75" x14ac:dyDescent="0.3">
      <c r="B366" s="32"/>
      <c r="C366" s="37">
        <v>14</v>
      </c>
      <c r="D366" s="37" t="s">
        <v>568</v>
      </c>
      <c r="E366" s="73"/>
      <c r="F366" s="74"/>
      <c r="G366" s="51"/>
      <c r="H366" s="57"/>
      <c r="I366" s="35"/>
      <c r="J366" s="35"/>
      <c r="K366" s="35"/>
      <c r="L366" s="35"/>
      <c r="M366" s="35"/>
      <c r="N366" s="58"/>
      <c r="O366" s="35"/>
      <c r="P366" s="35"/>
      <c r="Q366" s="35"/>
      <c r="R366" s="58"/>
      <c r="S366" s="35"/>
    </row>
    <row r="367" spans="2:19" ht="15.75" x14ac:dyDescent="0.25">
      <c r="B367" s="75"/>
      <c r="C367" s="75"/>
      <c r="D367" s="48"/>
      <c r="E367" s="49"/>
      <c r="F367" s="50"/>
      <c r="G367" s="51"/>
      <c r="H367" s="52"/>
      <c r="I367" s="50"/>
      <c r="J367" s="50"/>
      <c r="K367" s="50"/>
      <c r="L367" s="50"/>
      <c r="M367" s="50"/>
      <c r="N367" s="52"/>
      <c r="O367" s="50"/>
      <c r="P367" s="53"/>
      <c r="Q367" s="53"/>
      <c r="R367" s="54"/>
      <c r="S367" s="55"/>
    </row>
    <row r="368" spans="2:19" ht="15.75" x14ac:dyDescent="0.25">
      <c r="B368" s="38">
        <v>1</v>
      </c>
      <c r="C368" s="38" t="s">
        <v>569</v>
      </c>
      <c r="D368" s="39" t="s">
        <v>570</v>
      </c>
      <c r="E368" s="40">
        <v>44469</v>
      </c>
      <c r="F368" s="41">
        <v>173.62299999999999</v>
      </c>
      <c r="G368" s="42">
        <v>10</v>
      </c>
      <c r="H368" s="43">
        <f t="shared" ref="H368:H393" si="74">+F368/G368</f>
        <v>17.362299999999998</v>
      </c>
      <c r="I368" s="41">
        <v>3370.5279999999998</v>
      </c>
      <c r="J368" s="41">
        <v>7188.527</v>
      </c>
      <c r="K368" s="41">
        <v>7378.402</v>
      </c>
      <c r="L368" s="41">
        <v>84.68</v>
      </c>
      <c r="M368" s="41">
        <v>834.72299999999996</v>
      </c>
      <c r="N368" s="43">
        <f t="shared" ref="N368:N393" si="75">+M368-O368</f>
        <v>82.793999999999983</v>
      </c>
      <c r="O368" s="41">
        <v>751.92899999999997</v>
      </c>
      <c r="P368" s="44">
        <f>300+100</f>
        <v>400</v>
      </c>
      <c r="Q368" s="44">
        <v>0</v>
      </c>
      <c r="R368" s="45">
        <f t="shared" ref="R368:R393" si="76">SUM(P368:Q368)</f>
        <v>400</v>
      </c>
      <c r="S368" s="46">
        <v>1083</v>
      </c>
    </row>
    <row r="369" spans="2:19" ht="15.75" x14ac:dyDescent="0.25">
      <c r="B369" s="38">
        <f>+B368+1</f>
        <v>2</v>
      </c>
      <c r="C369" s="38" t="s">
        <v>571</v>
      </c>
      <c r="D369" s="39" t="s">
        <v>572</v>
      </c>
      <c r="E369" s="40">
        <v>44469</v>
      </c>
      <c r="F369" s="41">
        <v>172.90961999999999</v>
      </c>
      <c r="G369" s="42">
        <v>10</v>
      </c>
      <c r="H369" s="43">
        <f>+F369/G369</f>
        <v>17.290962</v>
      </c>
      <c r="I369" s="41">
        <v>3769.167054</v>
      </c>
      <c r="J369" s="41">
        <v>6077.5529900000001</v>
      </c>
      <c r="K369" s="41">
        <v>2880.5981999999999</v>
      </c>
      <c r="L369" s="41">
        <v>103.234874</v>
      </c>
      <c r="M369" s="41">
        <v>174.81860800000001</v>
      </c>
      <c r="N369" s="43">
        <f>+M369-O369</f>
        <v>-20.855686999999989</v>
      </c>
      <c r="O369" s="41">
        <v>195.674295</v>
      </c>
      <c r="P369" s="44">
        <v>20</v>
      </c>
      <c r="Q369" s="44">
        <v>0</v>
      </c>
      <c r="R369" s="45">
        <f>SUM(P369:Q369)</f>
        <v>20</v>
      </c>
      <c r="S369" s="46">
        <v>2498</v>
      </c>
    </row>
    <row r="370" spans="2:19" ht="15.75" x14ac:dyDescent="0.25">
      <c r="B370" s="38">
        <f t="shared" ref="B370:B377" si="77">+B369+1</f>
        <v>3</v>
      </c>
      <c r="C370" s="38" t="s">
        <v>573</v>
      </c>
      <c r="D370" s="39" t="s">
        <v>574</v>
      </c>
      <c r="E370" s="40">
        <v>44469</v>
      </c>
      <c r="F370" s="41">
        <v>792.61666000000002</v>
      </c>
      <c r="G370" s="42">
        <v>10</v>
      </c>
      <c r="H370" s="43">
        <f>+F370/G370</f>
        <v>79.261666000000005</v>
      </c>
      <c r="I370" s="41">
        <v>146.20561499999999</v>
      </c>
      <c r="J370" s="41">
        <v>3654.6599510000001</v>
      </c>
      <c r="K370" s="41">
        <v>0</v>
      </c>
      <c r="L370" s="41">
        <v>35.024073999999999</v>
      </c>
      <c r="M370" s="41">
        <v>-174.61460700000001</v>
      </c>
      <c r="N370" s="43">
        <f>+M370-O370</f>
        <v>47.53774199999998</v>
      </c>
      <c r="O370" s="41">
        <v>-222.15234899999999</v>
      </c>
      <c r="P370" s="44">
        <v>0</v>
      </c>
      <c r="Q370" s="44">
        <v>0</v>
      </c>
      <c r="R370" s="45">
        <f>SUM(P370:Q370)</f>
        <v>0</v>
      </c>
      <c r="S370" s="46">
        <v>2188</v>
      </c>
    </row>
    <row r="371" spans="2:19" ht="15.75" x14ac:dyDescent="0.25">
      <c r="B371" s="38">
        <f t="shared" si="77"/>
        <v>4</v>
      </c>
      <c r="C371" s="38" t="s">
        <v>575</v>
      </c>
      <c r="D371" s="39" t="s">
        <v>576</v>
      </c>
      <c r="E371" s="40">
        <v>44469</v>
      </c>
      <c r="F371" s="41">
        <v>204.73699999999999</v>
      </c>
      <c r="G371" s="42">
        <v>10</v>
      </c>
      <c r="H371" s="43">
        <f t="shared" si="74"/>
        <v>20.473700000000001</v>
      </c>
      <c r="I371" s="41">
        <v>3421.7750000000001</v>
      </c>
      <c r="J371" s="41">
        <v>9100.4089999999997</v>
      </c>
      <c r="K371" s="41">
        <v>10791.88</v>
      </c>
      <c r="L371" s="41">
        <v>389.46100000000001</v>
      </c>
      <c r="M371" s="41">
        <v>451.11799999999999</v>
      </c>
      <c r="N371" s="43">
        <f t="shared" si="75"/>
        <v>240.22800000000001</v>
      </c>
      <c r="O371" s="41">
        <v>210.89</v>
      </c>
      <c r="P371" s="44">
        <v>50</v>
      </c>
      <c r="Q371" s="44">
        <v>0</v>
      </c>
      <c r="R371" s="45">
        <f t="shared" si="76"/>
        <v>50</v>
      </c>
      <c r="S371" s="46">
        <v>1119</v>
      </c>
    </row>
    <row r="372" spans="2:19" ht="15.75" x14ac:dyDescent="0.25">
      <c r="B372" s="38">
        <f t="shared" si="77"/>
        <v>5</v>
      </c>
      <c r="C372" s="38" t="s">
        <v>577</v>
      </c>
      <c r="D372" s="39" t="s">
        <v>578</v>
      </c>
      <c r="E372" s="40">
        <v>44469</v>
      </c>
      <c r="F372" s="41">
        <v>94.5</v>
      </c>
      <c r="G372" s="42">
        <v>10</v>
      </c>
      <c r="H372" s="43">
        <f t="shared" si="74"/>
        <v>9.4499999999999993</v>
      </c>
      <c r="I372" s="41">
        <v>1793.4420700000001</v>
      </c>
      <c r="J372" s="41">
        <v>3480.5532309999999</v>
      </c>
      <c r="K372" s="41">
        <v>3864.1612439999999</v>
      </c>
      <c r="L372" s="41">
        <v>115.282684</v>
      </c>
      <c r="M372" s="41">
        <v>166.420571</v>
      </c>
      <c r="N372" s="43">
        <f t="shared" si="75"/>
        <v>44.20172199999999</v>
      </c>
      <c r="O372" s="41">
        <v>122.21884900000001</v>
      </c>
      <c r="P372" s="44">
        <v>0</v>
      </c>
      <c r="Q372" s="44">
        <v>0</v>
      </c>
      <c r="R372" s="45">
        <f t="shared" si="76"/>
        <v>0</v>
      </c>
      <c r="S372" s="46">
        <v>1094</v>
      </c>
    </row>
    <row r="373" spans="2:19" ht="15.75" x14ac:dyDescent="0.25">
      <c r="B373" s="38">
        <f t="shared" si="77"/>
        <v>6</v>
      </c>
      <c r="C373" s="38" t="s">
        <v>579</v>
      </c>
      <c r="D373" s="39" t="s">
        <v>580</v>
      </c>
      <c r="E373" s="40">
        <v>44469</v>
      </c>
      <c r="F373" s="41">
        <v>286.92</v>
      </c>
      <c r="G373" s="42">
        <v>10</v>
      </c>
      <c r="H373" s="43">
        <f t="shared" si="74"/>
        <v>28.692</v>
      </c>
      <c r="I373" s="41">
        <v>9011.8349999999991</v>
      </c>
      <c r="J373" s="41">
        <v>16973.448</v>
      </c>
      <c r="K373" s="41">
        <v>16037.09</v>
      </c>
      <c r="L373" s="41">
        <v>656.33699999999999</v>
      </c>
      <c r="M373" s="41">
        <v>337.34800000000001</v>
      </c>
      <c r="N373" s="43">
        <f t="shared" si="75"/>
        <v>26.967000000000041</v>
      </c>
      <c r="O373" s="41">
        <v>310.38099999999997</v>
      </c>
      <c r="P373" s="44">
        <v>50</v>
      </c>
      <c r="Q373" s="44">
        <v>0</v>
      </c>
      <c r="R373" s="45">
        <f t="shared" si="76"/>
        <v>50</v>
      </c>
      <c r="S373" s="46">
        <v>1041</v>
      </c>
    </row>
    <row r="374" spans="2:19" ht="15.75" x14ac:dyDescent="0.25">
      <c r="B374" s="38">
        <f t="shared" si="77"/>
        <v>7</v>
      </c>
      <c r="C374" s="38" t="s">
        <v>581</v>
      </c>
      <c r="D374" s="39" t="s">
        <v>582</v>
      </c>
      <c r="E374" s="40">
        <v>44469</v>
      </c>
      <c r="F374" s="41">
        <v>250.06954999999999</v>
      </c>
      <c r="G374" s="42">
        <v>10</v>
      </c>
      <c r="H374" s="43">
        <f t="shared" si="74"/>
        <v>25.006954999999998</v>
      </c>
      <c r="I374" s="41">
        <v>1755.4017080000001</v>
      </c>
      <c r="J374" s="41">
        <v>5699.2824730000002</v>
      </c>
      <c r="K374" s="41">
        <v>4860.2847060000004</v>
      </c>
      <c r="L374" s="41">
        <v>259.788296</v>
      </c>
      <c r="M374" s="41">
        <v>-390.41188</v>
      </c>
      <c r="N374" s="43">
        <f t="shared" si="75"/>
        <v>-19.752705999999989</v>
      </c>
      <c r="O374" s="41">
        <v>-370.65917400000001</v>
      </c>
      <c r="P374" s="44">
        <v>0</v>
      </c>
      <c r="Q374" s="44">
        <v>0</v>
      </c>
      <c r="R374" s="45">
        <f t="shared" si="76"/>
        <v>0</v>
      </c>
      <c r="S374" s="46">
        <v>2205</v>
      </c>
    </row>
    <row r="375" spans="2:19" ht="15.75" x14ac:dyDescent="0.25">
      <c r="B375" s="38">
        <f t="shared" si="77"/>
        <v>8</v>
      </c>
      <c r="C375" s="38" t="s">
        <v>583</v>
      </c>
      <c r="D375" s="39" t="s">
        <v>584</v>
      </c>
      <c r="E375" s="40">
        <v>44469</v>
      </c>
      <c r="F375" s="41">
        <v>750</v>
      </c>
      <c r="G375" s="42">
        <v>5</v>
      </c>
      <c r="H375" s="43">
        <f t="shared" si="74"/>
        <v>150</v>
      </c>
      <c r="I375" s="41">
        <v>9260.0939999999991</v>
      </c>
      <c r="J375" s="41">
        <v>11835.130999999999</v>
      </c>
      <c r="K375" s="41">
        <v>9912.6790000000001</v>
      </c>
      <c r="L375" s="41">
        <v>58.283000000000001</v>
      </c>
      <c r="M375" s="41">
        <v>1199.7360000000001</v>
      </c>
      <c r="N375" s="43">
        <f t="shared" si="75"/>
        <v>210.00000000000011</v>
      </c>
      <c r="O375" s="41">
        <v>989.73599999999999</v>
      </c>
      <c r="P375" s="44">
        <v>60</v>
      </c>
      <c r="Q375" s="44">
        <v>0</v>
      </c>
      <c r="R375" s="45">
        <f t="shared" si="76"/>
        <v>60</v>
      </c>
      <c r="S375" s="46">
        <v>4808</v>
      </c>
    </row>
    <row r="376" spans="2:19" ht="15.75" x14ac:dyDescent="0.25">
      <c r="B376" s="38">
        <f t="shared" si="77"/>
        <v>9</v>
      </c>
      <c r="C376" s="38" t="s">
        <v>585</v>
      </c>
      <c r="D376" s="39" t="s">
        <v>586</v>
      </c>
      <c r="E376" s="40">
        <v>44377</v>
      </c>
      <c r="F376" s="41">
        <v>200</v>
      </c>
      <c r="G376" s="42">
        <v>5</v>
      </c>
      <c r="H376" s="43">
        <f t="shared" si="74"/>
        <v>40</v>
      </c>
      <c r="I376" s="41">
        <v>964.699028</v>
      </c>
      <c r="J376" s="41">
        <v>1474.652826</v>
      </c>
      <c r="K376" s="41">
        <v>1772.259303</v>
      </c>
      <c r="L376" s="41">
        <v>10.079567000000001</v>
      </c>
      <c r="M376" s="41">
        <v>251.740173</v>
      </c>
      <c r="N376" s="43">
        <f t="shared" si="75"/>
        <v>1.7219389999999919</v>
      </c>
      <c r="O376" s="41">
        <v>250.01823400000001</v>
      </c>
      <c r="P376" s="44">
        <f>40+60</f>
        <v>100</v>
      </c>
      <c r="Q376" s="44">
        <v>0</v>
      </c>
      <c r="R376" s="45">
        <f t="shared" si="76"/>
        <v>100</v>
      </c>
      <c r="S376" s="46">
        <v>2373</v>
      </c>
    </row>
    <row r="377" spans="2:19" ht="15.75" x14ac:dyDescent="0.25">
      <c r="B377" s="38">
        <f t="shared" si="77"/>
        <v>10</v>
      </c>
      <c r="C377" s="38" t="s">
        <v>587</v>
      </c>
      <c r="D377" s="39" t="s">
        <v>588</v>
      </c>
      <c r="E377" s="40">
        <v>44469</v>
      </c>
      <c r="F377" s="41">
        <v>385.2</v>
      </c>
      <c r="G377" s="42">
        <v>10</v>
      </c>
      <c r="H377" s="43">
        <f t="shared" si="74"/>
        <v>38.519999999999996</v>
      </c>
      <c r="I377" s="41">
        <v>2997.5004060000001</v>
      </c>
      <c r="J377" s="41">
        <v>7135.4729610000004</v>
      </c>
      <c r="K377" s="41">
        <v>6148.5228139999999</v>
      </c>
      <c r="L377" s="41">
        <v>314.90951699999999</v>
      </c>
      <c r="M377" s="41">
        <v>68.520161999999999</v>
      </c>
      <c r="N377" s="43">
        <f t="shared" si="75"/>
        <v>44.863547999999994</v>
      </c>
      <c r="O377" s="41">
        <v>23.656614000000001</v>
      </c>
      <c r="P377" s="44">
        <v>0</v>
      </c>
      <c r="Q377" s="44">
        <v>0</v>
      </c>
      <c r="R377" s="45">
        <f t="shared" si="76"/>
        <v>0</v>
      </c>
      <c r="S377" s="46">
        <v>1061</v>
      </c>
    </row>
    <row r="378" spans="2:19" ht="15.75" x14ac:dyDescent="0.25">
      <c r="B378" s="38"/>
      <c r="C378" s="38" t="s">
        <v>589</v>
      </c>
      <c r="D378" s="39" t="s">
        <v>590</v>
      </c>
      <c r="E378" s="40">
        <v>44469</v>
      </c>
      <c r="F378" s="41">
        <v>385.2</v>
      </c>
      <c r="G378" s="42">
        <v>10</v>
      </c>
      <c r="H378" s="43">
        <f t="shared" si="74"/>
        <v>38.519999999999996</v>
      </c>
      <c r="I378" s="41"/>
      <c r="J378" s="41"/>
      <c r="K378" s="41"/>
      <c r="L378" s="41"/>
      <c r="M378" s="41"/>
      <c r="N378" s="43">
        <f t="shared" si="75"/>
        <v>0</v>
      </c>
      <c r="O378" s="41"/>
      <c r="P378" s="44"/>
      <c r="Q378" s="44"/>
      <c r="R378" s="45">
        <f t="shared" ref="R378" si="78">SUM(P378:Q378)</f>
        <v>0</v>
      </c>
      <c r="S378" s="46"/>
    </row>
    <row r="379" spans="2:19" ht="15.75" x14ac:dyDescent="0.25">
      <c r="B379" s="38">
        <f>+B377+1</f>
        <v>11</v>
      </c>
      <c r="C379" s="38" t="s">
        <v>591</v>
      </c>
      <c r="D379" s="39" t="s">
        <v>592</v>
      </c>
      <c r="E379" s="40">
        <v>44469</v>
      </c>
      <c r="F379" s="41">
        <v>597.76661000000001</v>
      </c>
      <c r="G379" s="42">
        <v>10</v>
      </c>
      <c r="H379" s="43">
        <f t="shared" si="74"/>
        <v>59.776661000000004</v>
      </c>
      <c r="I379" s="41">
        <v>14447.546469000001</v>
      </c>
      <c r="J379" s="41">
        <v>35545.675866999998</v>
      </c>
      <c r="K379" s="41">
        <v>56800.291561999999</v>
      </c>
      <c r="L379" s="41">
        <v>2251.7431270000002</v>
      </c>
      <c r="M379" s="41">
        <v>4447.3218159999997</v>
      </c>
      <c r="N379" s="43">
        <f t="shared" si="75"/>
        <v>-430.97440200000074</v>
      </c>
      <c r="O379" s="41">
        <v>4878.2962180000004</v>
      </c>
      <c r="P379" s="44">
        <v>100</v>
      </c>
      <c r="Q379" s="44">
        <v>0</v>
      </c>
      <c r="R379" s="45">
        <f t="shared" si="76"/>
        <v>100</v>
      </c>
      <c r="S379" s="46">
        <v>1172</v>
      </c>
    </row>
    <row r="380" spans="2:19" ht="15.75" x14ac:dyDescent="0.25">
      <c r="B380" s="38">
        <f t="shared" ref="B380:B393" si="79">+B379+1</f>
        <v>12</v>
      </c>
      <c r="C380" s="38" t="s">
        <v>593</v>
      </c>
      <c r="D380" s="39" t="s">
        <v>594</v>
      </c>
      <c r="E380" s="40">
        <v>44469</v>
      </c>
      <c r="F380" s="41">
        <v>341.28453000000002</v>
      </c>
      <c r="G380" s="42">
        <v>10</v>
      </c>
      <c r="H380" s="43">
        <f t="shared" si="74"/>
        <v>34.128453</v>
      </c>
      <c r="I380" s="41">
        <v>4762.1740829999999</v>
      </c>
      <c r="J380" s="41">
        <f>5125.274958+607.256721</f>
        <v>5732.5316789999997</v>
      </c>
      <c r="K380" s="41">
        <v>4924.0891750000001</v>
      </c>
      <c r="L380" s="41">
        <v>219.555138</v>
      </c>
      <c r="M380" s="41">
        <v>168.28918899999999</v>
      </c>
      <c r="N380" s="43">
        <f t="shared" si="75"/>
        <v>66.538117</v>
      </c>
      <c r="O380" s="41">
        <v>101.75107199999999</v>
      </c>
      <c r="P380" s="44">
        <v>10</v>
      </c>
      <c r="Q380" s="44">
        <v>0</v>
      </c>
      <c r="R380" s="45">
        <f t="shared" si="76"/>
        <v>10</v>
      </c>
      <c r="S380" s="46">
        <v>1182</v>
      </c>
    </row>
    <row r="381" spans="2:19" ht="15.75" x14ac:dyDescent="0.25">
      <c r="B381" s="38">
        <f t="shared" si="79"/>
        <v>13</v>
      </c>
      <c r="C381" s="38" t="s">
        <v>595</v>
      </c>
      <c r="D381" s="39" t="s">
        <v>596</v>
      </c>
      <c r="E381" s="40">
        <v>44469</v>
      </c>
      <c r="F381" s="41">
        <v>160.17500000000001</v>
      </c>
      <c r="G381" s="42">
        <v>10</v>
      </c>
      <c r="H381" s="43">
        <f t="shared" si="74"/>
        <v>16.017500000000002</v>
      </c>
      <c r="I381" s="41">
        <v>1563.08</v>
      </c>
      <c r="J381" s="41">
        <v>5206.2389999999996</v>
      </c>
      <c r="K381" s="41">
        <v>4589.4269999999997</v>
      </c>
      <c r="L381" s="41">
        <v>293.10000000000002</v>
      </c>
      <c r="M381" s="41">
        <v>178.739</v>
      </c>
      <c r="N381" s="43">
        <f t="shared" si="75"/>
        <v>96.201999999999998</v>
      </c>
      <c r="O381" s="41">
        <v>82.537000000000006</v>
      </c>
      <c r="P381" s="44">
        <v>0</v>
      </c>
      <c r="Q381" s="44">
        <v>0</v>
      </c>
      <c r="R381" s="45">
        <f t="shared" si="76"/>
        <v>0</v>
      </c>
      <c r="S381" s="46">
        <v>140</v>
      </c>
    </row>
    <row r="382" spans="2:19" ht="15.75" x14ac:dyDescent="0.25">
      <c r="B382" s="38">
        <f t="shared" si="79"/>
        <v>14</v>
      </c>
      <c r="C382" s="38" t="s">
        <v>597</v>
      </c>
      <c r="D382" s="39" t="s">
        <v>598</v>
      </c>
      <c r="E382" s="40">
        <v>44469</v>
      </c>
      <c r="F382" s="41">
        <v>134.94999999999999</v>
      </c>
      <c r="G382" s="42">
        <v>10</v>
      </c>
      <c r="H382" s="43">
        <f t="shared" si="74"/>
        <v>13.494999999999999</v>
      </c>
      <c r="I382" s="41">
        <v>3225.9839999999999</v>
      </c>
      <c r="J382" s="41">
        <v>7743.7950000000001</v>
      </c>
      <c r="K382" s="41">
        <v>3861.442</v>
      </c>
      <c r="L382" s="41">
        <v>245.71</v>
      </c>
      <c r="M382" s="41">
        <v>215.773</v>
      </c>
      <c r="N382" s="43">
        <f t="shared" si="75"/>
        <v>75.453000000000003</v>
      </c>
      <c r="O382" s="41">
        <v>140.32</v>
      </c>
      <c r="P382" s="44">
        <v>0</v>
      </c>
      <c r="Q382" s="44">
        <v>0</v>
      </c>
      <c r="R382" s="45">
        <f t="shared" si="76"/>
        <v>0</v>
      </c>
      <c r="S382" s="46">
        <v>1765</v>
      </c>
    </row>
    <row r="383" spans="2:19" ht="15.75" x14ac:dyDescent="0.25">
      <c r="B383" s="38">
        <f t="shared" si="79"/>
        <v>15</v>
      </c>
      <c r="C383" s="38" t="s">
        <v>599</v>
      </c>
      <c r="D383" s="39" t="s">
        <v>600</v>
      </c>
      <c r="E383" s="40">
        <v>44469</v>
      </c>
      <c r="F383" s="41">
        <v>489.27324599999997</v>
      </c>
      <c r="G383" s="42">
        <v>10</v>
      </c>
      <c r="H383" s="43">
        <f t="shared" si="74"/>
        <v>48.927324599999999</v>
      </c>
      <c r="I383" s="41">
        <v>2495.8271289999998</v>
      </c>
      <c r="J383" s="41">
        <v>5892.7811119999997</v>
      </c>
      <c r="K383" s="41">
        <v>6063.5383389999997</v>
      </c>
      <c r="L383" s="41">
        <v>264.55129399999998</v>
      </c>
      <c r="M383" s="41">
        <v>17.88738</v>
      </c>
      <c r="N383" s="43">
        <f t="shared" si="75"/>
        <v>41.703170999999998</v>
      </c>
      <c r="O383" s="41">
        <v>-23.815791000000001</v>
      </c>
      <c r="P383" s="44">
        <f>15</f>
        <v>15</v>
      </c>
      <c r="Q383" s="44">
        <v>10</v>
      </c>
      <c r="R383" s="45">
        <f t="shared" si="76"/>
        <v>25</v>
      </c>
      <c r="S383" s="46">
        <v>1648</v>
      </c>
    </row>
    <row r="384" spans="2:19" ht="15.75" x14ac:dyDescent="0.25">
      <c r="B384" s="38">
        <f t="shared" si="79"/>
        <v>16</v>
      </c>
      <c r="C384" s="38" t="s">
        <v>601</v>
      </c>
      <c r="D384" s="39" t="s">
        <v>602</v>
      </c>
      <c r="E384" s="40">
        <v>44469</v>
      </c>
      <c r="F384" s="41">
        <v>165.17500000000001</v>
      </c>
      <c r="G384" s="42">
        <v>10</v>
      </c>
      <c r="H384" s="43">
        <f t="shared" si="74"/>
        <v>16.517500000000002</v>
      </c>
      <c r="I384" s="41">
        <v>1327.6569999999999</v>
      </c>
      <c r="J384" s="41">
        <v>4425.6530000000002</v>
      </c>
      <c r="K384" s="41">
        <v>9189.68</v>
      </c>
      <c r="L384" s="41">
        <v>266.23200000000003</v>
      </c>
      <c r="M384" s="41">
        <v>377.17700000000002</v>
      </c>
      <c r="N384" s="43">
        <f t="shared" si="75"/>
        <v>123.05700000000002</v>
      </c>
      <c r="O384" s="41">
        <v>254.12</v>
      </c>
      <c r="P384" s="44">
        <v>35</v>
      </c>
      <c r="Q384" s="44">
        <v>0</v>
      </c>
      <c r="R384" s="45">
        <f t="shared" si="76"/>
        <v>35</v>
      </c>
      <c r="S384" s="46">
        <v>1762</v>
      </c>
    </row>
    <row r="385" spans="2:19" ht="15.75" x14ac:dyDescent="0.25">
      <c r="B385" s="38">
        <f t="shared" si="79"/>
        <v>17</v>
      </c>
      <c r="C385" s="38" t="s">
        <v>603</v>
      </c>
      <c r="D385" s="39" t="s">
        <v>604</v>
      </c>
      <c r="E385" s="40">
        <v>44469</v>
      </c>
      <c r="F385" s="41">
        <v>37.5</v>
      </c>
      <c r="G385" s="42">
        <v>10</v>
      </c>
      <c r="H385" s="43">
        <f t="shared" si="74"/>
        <v>3.75</v>
      </c>
      <c r="I385" s="41">
        <v>1120.5740000000001</v>
      </c>
      <c r="J385" s="41">
        <v>1975.6969999999999</v>
      </c>
      <c r="K385" s="41">
        <v>548.875</v>
      </c>
      <c r="L385" s="41">
        <v>28.170999999999999</v>
      </c>
      <c r="M385" s="41">
        <v>-207.84299999999999</v>
      </c>
      <c r="N385" s="43">
        <f t="shared" si="75"/>
        <v>-5.5929999999999893</v>
      </c>
      <c r="O385" s="41">
        <v>-202.25</v>
      </c>
      <c r="P385" s="44">
        <v>0</v>
      </c>
      <c r="Q385" s="44">
        <v>0</v>
      </c>
      <c r="R385" s="45">
        <f t="shared" si="76"/>
        <v>0</v>
      </c>
      <c r="S385" s="46">
        <v>1277</v>
      </c>
    </row>
    <row r="386" spans="2:19" ht="15.75" x14ac:dyDescent="0.25">
      <c r="B386" s="38">
        <f t="shared" si="79"/>
        <v>18</v>
      </c>
      <c r="C386" s="38" t="s">
        <v>605</v>
      </c>
      <c r="D386" s="39" t="s">
        <v>606</v>
      </c>
      <c r="E386" s="40">
        <v>44469</v>
      </c>
      <c r="F386" s="41">
        <v>119.46</v>
      </c>
      <c r="G386" s="42">
        <v>10</v>
      </c>
      <c r="H386" s="43">
        <f t="shared" si="74"/>
        <v>11.946</v>
      </c>
      <c r="I386" s="41">
        <v>1080.845</v>
      </c>
      <c r="J386" s="41">
        <v>3856.4589999999998</v>
      </c>
      <c r="K386" s="41">
        <v>2855.3440000000001</v>
      </c>
      <c r="L386" s="41">
        <v>111.14</v>
      </c>
      <c r="M386" s="41">
        <v>-16.094000000000001</v>
      </c>
      <c r="N386" s="43">
        <f t="shared" si="75"/>
        <v>13.731999999999999</v>
      </c>
      <c r="O386" s="41">
        <v>-29.826000000000001</v>
      </c>
      <c r="P386" s="44">
        <v>0</v>
      </c>
      <c r="Q386" s="44">
        <v>0</v>
      </c>
      <c r="R386" s="45">
        <f t="shared" si="76"/>
        <v>0</v>
      </c>
      <c r="S386" s="46">
        <v>1130</v>
      </c>
    </row>
    <row r="387" spans="2:19" ht="15.75" x14ac:dyDescent="0.25">
      <c r="B387" s="38">
        <f t="shared" si="79"/>
        <v>19</v>
      </c>
      <c r="C387" s="38" t="s">
        <v>607</v>
      </c>
      <c r="D387" s="39" t="s">
        <v>608</v>
      </c>
      <c r="E387" s="40">
        <v>44469</v>
      </c>
      <c r="F387" s="41">
        <v>104.25</v>
      </c>
      <c r="G387" s="42">
        <v>10</v>
      </c>
      <c r="H387" s="43">
        <f t="shared" si="74"/>
        <v>10.425000000000001</v>
      </c>
      <c r="I387" s="41">
        <v>2208.3486379999999</v>
      </c>
      <c r="J387" s="41">
        <v>4750.1485460000004</v>
      </c>
      <c r="K387" s="41">
        <v>2253.7134620000002</v>
      </c>
      <c r="L387" s="41">
        <v>161.926469</v>
      </c>
      <c r="M387" s="41">
        <v>-104.74781299999999</v>
      </c>
      <c r="N387" s="43">
        <f t="shared" si="75"/>
        <v>-24.591726999999992</v>
      </c>
      <c r="O387" s="41">
        <v>-80.156086000000002</v>
      </c>
      <c r="P387" s="44">
        <v>0</v>
      </c>
      <c r="Q387" s="44">
        <v>0</v>
      </c>
      <c r="R387" s="45">
        <f t="shared" si="76"/>
        <v>0</v>
      </c>
      <c r="S387" s="46">
        <v>1721</v>
      </c>
    </row>
    <row r="388" spans="2:19" ht="15.75" x14ac:dyDescent="0.25">
      <c r="B388" s="38">
        <f t="shared" si="79"/>
        <v>20</v>
      </c>
      <c r="C388" s="38" t="s">
        <v>609</v>
      </c>
      <c r="D388" s="39" t="s">
        <v>610</v>
      </c>
      <c r="E388" s="40">
        <v>44469</v>
      </c>
      <c r="F388" s="41">
        <v>120.111</v>
      </c>
      <c r="G388" s="42">
        <v>10</v>
      </c>
      <c r="H388" s="43">
        <f t="shared" si="74"/>
        <v>12.011100000000001</v>
      </c>
      <c r="I388" s="41">
        <v>2644.8530000000001</v>
      </c>
      <c r="J388" s="41">
        <v>5497.2359999999999</v>
      </c>
      <c r="K388" s="41">
        <v>6314.2780000000002</v>
      </c>
      <c r="L388" s="41">
        <v>264.41199999999998</v>
      </c>
      <c r="M388" s="41">
        <v>314.25599999999997</v>
      </c>
      <c r="N388" s="43">
        <f t="shared" si="75"/>
        <v>109.42899999999997</v>
      </c>
      <c r="O388" s="41">
        <v>204.827</v>
      </c>
      <c r="P388" s="44">
        <v>50</v>
      </c>
      <c r="Q388" s="44">
        <v>0</v>
      </c>
      <c r="R388" s="45">
        <f t="shared" si="76"/>
        <v>50</v>
      </c>
      <c r="S388" s="46">
        <v>755</v>
      </c>
    </row>
    <row r="389" spans="2:19" ht="15.75" x14ac:dyDescent="0.25">
      <c r="B389" s="38">
        <f t="shared" si="79"/>
        <v>21</v>
      </c>
      <c r="C389" s="38" t="s">
        <v>611</v>
      </c>
      <c r="D389" s="39" t="s">
        <v>612</v>
      </c>
      <c r="E389" s="40">
        <v>44469</v>
      </c>
      <c r="F389" s="41">
        <v>211.18700000000001</v>
      </c>
      <c r="G389" s="42">
        <v>10</v>
      </c>
      <c r="H389" s="43">
        <f t="shared" si="74"/>
        <v>21.1187</v>
      </c>
      <c r="I389" s="41">
        <v>4661.4030000000002</v>
      </c>
      <c r="J389" s="41">
        <v>9931.2559999999994</v>
      </c>
      <c r="K389" s="41">
        <v>9934.4930000000004</v>
      </c>
      <c r="L389" s="41">
        <v>366.61900000000003</v>
      </c>
      <c r="M389" s="41">
        <v>298.43900000000002</v>
      </c>
      <c r="N389" s="43">
        <f t="shared" si="75"/>
        <v>162.77300000000002</v>
      </c>
      <c r="O389" s="41">
        <v>135.666</v>
      </c>
      <c r="P389" s="44">
        <v>30</v>
      </c>
      <c r="Q389" s="44">
        <v>0</v>
      </c>
      <c r="R389" s="45">
        <f t="shared" si="76"/>
        <v>30</v>
      </c>
      <c r="S389" s="46">
        <v>2405</v>
      </c>
    </row>
    <row r="390" spans="2:19" ht="15.75" x14ac:dyDescent="0.25">
      <c r="B390" s="38">
        <f t="shared" si="79"/>
        <v>22</v>
      </c>
      <c r="C390" s="38" t="s">
        <v>613</v>
      </c>
      <c r="D390" s="39" t="s">
        <v>614</v>
      </c>
      <c r="E390" s="40">
        <v>44469</v>
      </c>
      <c r="F390" s="41"/>
      <c r="G390" s="42">
        <v>10</v>
      </c>
      <c r="H390" s="43">
        <f t="shared" si="74"/>
        <v>0</v>
      </c>
      <c r="I390" s="41"/>
      <c r="J390" s="41"/>
      <c r="K390" s="41"/>
      <c r="L390" s="41"/>
      <c r="M390" s="41"/>
      <c r="N390" s="43">
        <f t="shared" si="75"/>
        <v>0</v>
      </c>
      <c r="O390" s="41"/>
      <c r="P390" s="44"/>
      <c r="Q390" s="44"/>
      <c r="R390" s="45">
        <f t="shared" si="76"/>
        <v>0</v>
      </c>
      <c r="S390" s="46"/>
    </row>
    <row r="391" spans="2:19" ht="15.75" x14ac:dyDescent="0.25">
      <c r="B391" s="38">
        <f t="shared" si="79"/>
        <v>23</v>
      </c>
      <c r="C391" s="38" t="s">
        <v>615</v>
      </c>
      <c r="D391" s="39" t="s">
        <v>616</v>
      </c>
      <c r="E391" s="40">
        <v>44469</v>
      </c>
      <c r="F391" s="41">
        <v>1250</v>
      </c>
      <c r="G391" s="42">
        <v>10</v>
      </c>
      <c r="H391" s="43">
        <f t="shared" si="74"/>
        <v>125</v>
      </c>
      <c r="I391" s="41">
        <v>11220.914000000001</v>
      </c>
      <c r="J391" s="41">
        <v>19135.86</v>
      </c>
      <c r="K391" s="41">
        <v>9161.7630000000008</v>
      </c>
      <c r="L391" s="41">
        <v>275.02499999999998</v>
      </c>
      <c r="M391" s="41">
        <v>-1072.0170000000001</v>
      </c>
      <c r="N391" s="43">
        <f t="shared" si="75"/>
        <v>315.89300000000003</v>
      </c>
      <c r="O391" s="41">
        <v>-1387.91</v>
      </c>
      <c r="P391" s="44">
        <v>0</v>
      </c>
      <c r="Q391" s="44">
        <v>0</v>
      </c>
      <c r="R391" s="45">
        <f t="shared" si="76"/>
        <v>0</v>
      </c>
      <c r="S391" s="46">
        <v>1414</v>
      </c>
    </row>
    <row r="392" spans="2:19" ht="15.75" x14ac:dyDescent="0.25">
      <c r="B392" s="38">
        <f t="shared" si="79"/>
        <v>24</v>
      </c>
      <c r="C392" s="38" t="s">
        <v>617</v>
      </c>
      <c r="D392" s="39" t="s">
        <v>618</v>
      </c>
      <c r="E392" s="40">
        <v>44469</v>
      </c>
      <c r="F392" s="41">
        <v>150.23231999999999</v>
      </c>
      <c r="G392" s="42">
        <v>10</v>
      </c>
      <c r="H392" s="43">
        <f t="shared" si="74"/>
        <v>15.023231999999998</v>
      </c>
      <c r="I392" s="41">
        <f>5053.947545+574.8</f>
        <v>5628.7475450000002</v>
      </c>
      <c r="J392" s="41">
        <v>8831.3941919999997</v>
      </c>
      <c r="K392" s="41">
        <v>21424.381307</v>
      </c>
      <c r="L392" s="41">
        <v>471.22963399999998</v>
      </c>
      <c r="M392" s="41">
        <v>2027.0128769999999</v>
      </c>
      <c r="N392" s="43">
        <f t="shared" si="75"/>
        <v>396.70918699999993</v>
      </c>
      <c r="O392" s="41">
        <v>1630.30369</v>
      </c>
      <c r="P392" s="44">
        <v>30</v>
      </c>
      <c r="Q392" s="44">
        <v>0</v>
      </c>
      <c r="R392" s="45">
        <f t="shared" si="76"/>
        <v>30</v>
      </c>
      <c r="S392" s="46">
        <v>1050</v>
      </c>
    </row>
    <row r="393" spans="2:19" ht="15.75" x14ac:dyDescent="0.25">
      <c r="B393" s="38">
        <f t="shared" si="79"/>
        <v>25</v>
      </c>
      <c r="C393" s="38" t="s">
        <v>619</v>
      </c>
      <c r="D393" s="39" t="s">
        <v>620</v>
      </c>
      <c r="E393" s="40">
        <v>44469</v>
      </c>
      <c r="F393" s="41"/>
      <c r="G393" s="42">
        <v>10</v>
      </c>
      <c r="H393" s="43">
        <f t="shared" si="74"/>
        <v>0</v>
      </c>
      <c r="I393" s="41"/>
      <c r="J393" s="41"/>
      <c r="K393" s="41"/>
      <c r="L393" s="41"/>
      <c r="M393" s="41"/>
      <c r="N393" s="43">
        <f t="shared" si="75"/>
        <v>0</v>
      </c>
      <c r="O393" s="41"/>
      <c r="P393" s="44"/>
      <c r="Q393" s="44"/>
      <c r="R393" s="45">
        <f t="shared" si="76"/>
        <v>0</v>
      </c>
      <c r="S393" s="46"/>
    </row>
    <row r="394" spans="2:19" ht="15.75" x14ac:dyDescent="0.25">
      <c r="B394" s="75"/>
      <c r="C394" s="75"/>
      <c r="D394" s="48"/>
      <c r="E394" s="49"/>
      <c r="F394" s="50"/>
      <c r="G394" s="51"/>
      <c r="H394" s="52"/>
      <c r="I394" s="50"/>
      <c r="J394" s="50"/>
      <c r="K394" s="50"/>
      <c r="L394" s="50"/>
      <c r="M394" s="50"/>
      <c r="N394" s="52"/>
      <c r="O394" s="50"/>
      <c r="P394" s="53"/>
      <c r="Q394" s="53"/>
      <c r="R394" s="54"/>
      <c r="S394" s="55"/>
    </row>
    <row r="395" spans="2:19" ht="18.75" x14ac:dyDescent="0.3">
      <c r="B395" s="32"/>
      <c r="C395" s="32"/>
      <c r="D395" s="68" t="s">
        <v>41</v>
      </c>
      <c r="E395" s="33"/>
      <c r="F395" s="32"/>
      <c r="G395" s="51"/>
      <c r="H395" s="57"/>
      <c r="I395" s="35"/>
      <c r="J395" s="35"/>
      <c r="K395" s="35"/>
      <c r="L395" s="35"/>
      <c r="M395" s="35"/>
      <c r="N395" s="58"/>
      <c r="O395" s="35"/>
      <c r="P395" s="35"/>
      <c r="Q395" s="35"/>
      <c r="R395" s="58"/>
      <c r="S395" s="35"/>
    </row>
    <row r="396" spans="2:19" ht="15.75" x14ac:dyDescent="0.25">
      <c r="B396" s="38">
        <f>+B393+1</f>
        <v>26</v>
      </c>
      <c r="C396" s="38" t="s">
        <v>621</v>
      </c>
      <c r="D396" s="39" t="s">
        <v>622</v>
      </c>
      <c r="E396" s="40">
        <v>44469</v>
      </c>
      <c r="F396" s="41"/>
      <c r="G396" s="42">
        <v>10</v>
      </c>
      <c r="H396" s="43">
        <f>+F396/G396</f>
        <v>0</v>
      </c>
      <c r="I396" s="41"/>
      <c r="J396" s="41"/>
      <c r="K396" s="41"/>
      <c r="L396" s="41"/>
      <c r="M396" s="41"/>
      <c r="N396" s="43">
        <f>+M396-O396</f>
        <v>0</v>
      </c>
      <c r="O396" s="41"/>
      <c r="P396" s="44"/>
      <c r="Q396" s="44"/>
      <c r="R396" s="45">
        <f>SUM(P396:Q396)</f>
        <v>0</v>
      </c>
      <c r="S396" s="46"/>
    </row>
    <row r="397" spans="2:19" ht="15.75" x14ac:dyDescent="0.25">
      <c r="B397" s="38">
        <f t="shared" ref="B397:B398" si="80">+B396+1</f>
        <v>27</v>
      </c>
      <c r="C397" s="38" t="s">
        <v>623</v>
      </c>
      <c r="D397" s="39" t="s">
        <v>624</v>
      </c>
      <c r="E397" s="40">
        <v>44469</v>
      </c>
      <c r="F397" s="41">
        <v>915.11991999999998</v>
      </c>
      <c r="G397" s="42">
        <v>10</v>
      </c>
      <c r="H397" s="43">
        <f>+F397/G397</f>
        <v>91.511991999999992</v>
      </c>
      <c r="I397" s="41">
        <v>586.28929300000004</v>
      </c>
      <c r="J397" s="41">
        <v>8783.6712630000002</v>
      </c>
      <c r="K397" s="41">
        <v>5958.6960369999997</v>
      </c>
      <c r="L397" s="41">
        <v>38.780763</v>
      </c>
      <c r="M397" s="41">
        <v>-802.33522600000003</v>
      </c>
      <c r="N397" s="43">
        <f>+M397-O397</f>
        <v>-7.2226970000000392</v>
      </c>
      <c r="O397" s="41">
        <v>-795.11252899999999</v>
      </c>
      <c r="P397" s="44">
        <v>0</v>
      </c>
      <c r="Q397" s="44">
        <v>0</v>
      </c>
      <c r="R397" s="45">
        <f>SUM(P397:Q397)</f>
        <v>0</v>
      </c>
      <c r="S397" s="46">
        <v>1957</v>
      </c>
    </row>
    <row r="398" spans="2:19" ht="15.75" x14ac:dyDescent="0.25">
      <c r="B398" s="38">
        <f t="shared" si="80"/>
        <v>28</v>
      </c>
      <c r="C398" s="38" t="s">
        <v>625</v>
      </c>
      <c r="D398" s="39" t="s">
        <v>626</v>
      </c>
      <c r="E398" s="40">
        <v>44469</v>
      </c>
      <c r="F398" s="41">
        <v>324</v>
      </c>
      <c r="G398" s="42">
        <v>10</v>
      </c>
      <c r="H398" s="43">
        <f>+F398/G398</f>
        <v>32.4</v>
      </c>
      <c r="I398" s="41">
        <v>-1593.4706510000001</v>
      </c>
      <c r="J398" s="41">
        <v>3083.9472649999998</v>
      </c>
      <c r="K398" s="41">
        <v>0</v>
      </c>
      <c r="L398" s="41">
        <v>167.72039699999999</v>
      </c>
      <c r="M398" s="41">
        <v>-339.340304</v>
      </c>
      <c r="N398" s="43">
        <f>+M398-O398</f>
        <v>-30.523388000000011</v>
      </c>
      <c r="O398" s="41">
        <v>-308.81691599999999</v>
      </c>
      <c r="P398" s="44">
        <v>0</v>
      </c>
      <c r="Q398" s="44">
        <v>0</v>
      </c>
      <c r="R398" s="45">
        <f>SUM(P398:Q398)</f>
        <v>0</v>
      </c>
      <c r="S398" s="46">
        <v>1553</v>
      </c>
    </row>
    <row r="400" spans="2:19" ht="15.75" x14ac:dyDescent="0.25">
      <c r="B400" s="75"/>
      <c r="C400" s="75"/>
      <c r="D400" s="48"/>
      <c r="E400" s="49"/>
      <c r="F400" s="50"/>
      <c r="G400" s="51"/>
      <c r="H400" s="52"/>
      <c r="I400" s="50"/>
      <c r="J400" s="50"/>
      <c r="K400" s="50"/>
      <c r="L400" s="50"/>
      <c r="M400" s="50"/>
      <c r="N400" s="52"/>
      <c r="O400" s="50"/>
      <c r="P400" s="53"/>
      <c r="Q400" s="53"/>
      <c r="R400" s="54"/>
      <c r="S400" s="55"/>
    </row>
    <row r="401" spans="2:19" ht="15.75" x14ac:dyDescent="0.25">
      <c r="B401" s="38">
        <f>COUNT(B368:B400)</f>
        <v>28</v>
      </c>
      <c r="C401" s="38"/>
      <c r="D401" s="60"/>
      <c r="E401" s="40"/>
      <c r="F401" s="60">
        <f>SUM(F368:F400)</f>
        <v>8816.2604559999982</v>
      </c>
      <c r="G401" s="61"/>
      <c r="H401" s="62">
        <f t="shared" ref="H401:O401" si="81">SUM(H368:H400)</f>
        <v>976.62604560000011</v>
      </c>
      <c r="I401" s="60">
        <f t="shared" si="81"/>
        <v>91871.420387000006</v>
      </c>
      <c r="J401" s="60">
        <f t="shared" si="81"/>
        <v>203012.03435600002</v>
      </c>
      <c r="K401" s="60">
        <f t="shared" si="81"/>
        <v>207525.88914899997</v>
      </c>
      <c r="L401" s="60">
        <f t="shared" si="81"/>
        <v>7452.9958340000003</v>
      </c>
      <c r="M401" s="60">
        <f t="shared" si="81"/>
        <v>8421.915946000001</v>
      </c>
      <c r="N401" s="63">
        <f t="shared" si="81"/>
        <v>1560.2898189999992</v>
      </c>
      <c r="O401" s="60">
        <f t="shared" si="81"/>
        <v>6861.6261270000014</v>
      </c>
      <c r="P401" s="64"/>
      <c r="Q401" s="64"/>
      <c r="R401" s="65"/>
      <c r="S401" s="66">
        <f>SUM(S368:S400)</f>
        <v>40401</v>
      </c>
    </row>
    <row r="402" spans="2:19" ht="15.75" x14ac:dyDescent="0.25">
      <c r="B402" s="75"/>
      <c r="C402" s="75"/>
      <c r="D402" s="48"/>
      <c r="E402" s="49"/>
      <c r="F402" s="50"/>
      <c r="G402" s="51"/>
      <c r="H402" s="52"/>
      <c r="I402" s="50"/>
      <c r="J402" s="50"/>
      <c r="K402" s="50"/>
      <c r="L402" s="50"/>
      <c r="M402" s="50"/>
      <c r="N402" s="52"/>
      <c r="O402" s="50"/>
      <c r="P402" s="53"/>
      <c r="Q402" s="53"/>
      <c r="R402" s="54"/>
      <c r="S402" s="55"/>
    </row>
    <row r="403" spans="2:19" ht="15.75" x14ac:dyDescent="0.25">
      <c r="B403" s="75"/>
      <c r="C403" s="75"/>
      <c r="D403" s="48"/>
      <c r="E403" s="49"/>
      <c r="F403" s="50"/>
      <c r="G403" s="51"/>
      <c r="H403" s="52"/>
      <c r="I403" s="50"/>
      <c r="J403" s="50"/>
      <c r="K403" s="50"/>
      <c r="L403" s="50"/>
      <c r="M403" s="50"/>
      <c r="N403" s="52"/>
      <c r="O403" s="50"/>
      <c r="P403" s="53"/>
      <c r="Q403" s="53"/>
      <c r="R403" s="54"/>
      <c r="S403" s="55"/>
    </row>
    <row r="404" spans="2:19" ht="18.75" x14ac:dyDescent="0.3">
      <c r="B404" s="32"/>
      <c r="C404" s="37">
        <v>15</v>
      </c>
      <c r="D404" s="37" t="s">
        <v>627</v>
      </c>
      <c r="E404" s="73"/>
      <c r="F404" s="74"/>
      <c r="G404" s="51"/>
      <c r="H404" s="57"/>
      <c r="I404" s="35"/>
      <c r="J404" s="35"/>
      <c r="K404" s="35"/>
      <c r="L404" s="35"/>
      <c r="M404" s="35"/>
      <c r="N404" s="58"/>
      <c r="O404" s="35"/>
      <c r="P404" s="35"/>
      <c r="Q404" s="35"/>
      <c r="R404" s="58"/>
      <c r="S404" s="35"/>
    </row>
    <row r="405" spans="2:19" ht="15.75" x14ac:dyDescent="0.25">
      <c r="B405" s="75"/>
      <c r="C405" s="75"/>
      <c r="D405" s="48"/>
      <c r="E405" s="49"/>
      <c r="F405" s="50"/>
      <c r="G405" s="51"/>
      <c r="H405" s="52"/>
      <c r="I405" s="50"/>
      <c r="J405" s="50"/>
      <c r="K405" s="50"/>
      <c r="L405" s="50"/>
      <c r="M405" s="50"/>
      <c r="N405" s="52"/>
      <c r="O405" s="50"/>
      <c r="P405" s="53"/>
      <c r="Q405" s="53"/>
      <c r="R405" s="54"/>
      <c r="S405" s="55"/>
    </row>
    <row r="406" spans="2:19" ht="15.75" x14ac:dyDescent="0.25">
      <c r="B406" s="38">
        <v>1</v>
      </c>
      <c r="C406" s="38" t="s">
        <v>628</v>
      </c>
      <c r="D406" s="39" t="s">
        <v>629</v>
      </c>
      <c r="E406" s="40">
        <v>44377</v>
      </c>
      <c r="F406" s="41">
        <v>1374.27</v>
      </c>
      <c r="G406" s="42">
        <v>10</v>
      </c>
      <c r="H406" s="43">
        <f t="shared" ref="H406:H423" si="82">+F406/G406</f>
        <v>137.42699999999999</v>
      </c>
      <c r="I406" s="41">
        <v>17200.542000000001</v>
      </c>
      <c r="J406" s="41">
        <v>32656.963</v>
      </c>
      <c r="K406" s="41">
        <v>21244.562000000002</v>
      </c>
      <c r="L406" s="41">
        <v>357.48700000000002</v>
      </c>
      <c r="M406" s="41">
        <v>1539.914</v>
      </c>
      <c r="N406" s="43">
        <f t="shared" ref="N406:N423" si="83">+M406-O406</f>
        <v>432.5619999999999</v>
      </c>
      <c r="O406" s="41">
        <v>1107.3520000000001</v>
      </c>
      <c r="P406" s="44">
        <v>40</v>
      </c>
      <c r="Q406" s="44">
        <v>0</v>
      </c>
      <c r="R406" s="45">
        <f t="shared" ref="R406:R423" si="84">SUM(P406:Q406)</f>
        <v>40</v>
      </c>
      <c r="S406" s="46">
        <v>1877</v>
      </c>
    </row>
    <row r="407" spans="2:19" ht="15.75" x14ac:dyDescent="0.25">
      <c r="B407" s="38">
        <f>+B406+1</f>
        <v>2</v>
      </c>
      <c r="C407" s="38" t="s">
        <v>630</v>
      </c>
      <c r="D407" s="39" t="s">
        <v>631</v>
      </c>
      <c r="E407" s="40">
        <v>44377</v>
      </c>
      <c r="F407" s="41">
        <v>5962.5280000000002</v>
      </c>
      <c r="G407" s="42">
        <v>10</v>
      </c>
      <c r="H407" s="43">
        <f t="shared" si="82"/>
        <v>596.25279999999998</v>
      </c>
      <c r="I407" s="41">
        <v>60122.534</v>
      </c>
      <c r="J407" s="41">
        <v>98898.338000000003</v>
      </c>
      <c r="K407" s="41">
        <v>56864.324000000001</v>
      </c>
      <c r="L407" s="41">
        <v>1070.586</v>
      </c>
      <c r="M407" s="41">
        <v>15538.039000000001</v>
      </c>
      <c r="N407" s="43">
        <f t="shared" si="83"/>
        <v>3960.3150000000005</v>
      </c>
      <c r="O407" s="41">
        <v>11577.724</v>
      </c>
      <c r="P407" s="44">
        <f>30+30+40+40</f>
        <v>140</v>
      </c>
      <c r="Q407" s="44">
        <v>0</v>
      </c>
      <c r="R407" s="45">
        <f t="shared" si="84"/>
        <v>140</v>
      </c>
      <c r="S407" s="46">
        <v>8927</v>
      </c>
    </row>
    <row r="408" spans="2:19" ht="15.75" x14ac:dyDescent="0.25">
      <c r="B408" s="38">
        <f t="shared" ref="B408:B423" si="85">+B407+1</f>
        <v>3</v>
      </c>
      <c r="C408" s="38" t="s">
        <v>632</v>
      </c>
      <c r="D408" s="39" t="s">
        <v>633</v>
      </c>
      <c r="E408" s="40">
        <v>44377</v>
      </c>
      <c r="F408" s="41">
        <v>1942.95</v>
      </c>
      <c r="G408" s="42">
        <v>10</v>
      </c>
      <c r="H408" s="43">
        <f t="shared" si="82"/>
        <v>194.29500000000002</v>
      </c>
      <c r="I408" s="41">
        <v>13589.552</v>
      </c>
      <c r="J408" s="41">
        <v>34193.521999999997</v>
      </c>
      <c r="K408" s="41">
        <v>25206.811000000002</v>
      </c>
      <c r="L408" s="41">
        <v>1524.1769999999999</v>
      </c>
      <c r="M408" s="41">
        <v>4337.2179999999998</v>
      </c>
      <c r="N408" s="43">
        <f t="shared" si="83"/>
        <v>1132.1619999999998</v>
      </c>
      <c r="O408" s="41">
        <v>3205.056</v>
      </c>
      <c r="P408" s="44">
        <f>10+12.5</f>
        <v>22.5</v>
      </c>
      <c r="Q408" s="44">
        <v>0</v>
      </c>
      <c r="R408" s="45">
        <f t="shared" si="84"/>
        <v>22.5</v>
      </c>
      <c r="S408" s="46">
        <v>5055</v>
      </c>
    </row>
    <row r="409" spans="2:19" ht="15.75" x14ac:dyDescent="0.25">
      <c r="B409" s="38">
        <f t="shared" si="85"/>
        <v>4</v>
      </c>
      <c r="C409" s="38" t="s">
        <v>634</v>
      </c>
      <c r="D409" s="39" t="s">
        <v>635</v>
      </c>
      <c r="E409" s="40">
        <v>44377</v>
      </c>
      <c r="F409" s="41">
        <v>4841.1329999999998</v>
      </c>
      <c r="G409" s="42">
        <v>10</v>
      </c>
      <c r="H409" s="43">
        <f t="shared" si="82"/>
        <v>484.11329999999998</v>
      </c>
      <c r="I409" s="41">
        <v>20935.377</v>
      </c>
      <c r="J409" s="41">
        <v>36931.786</v>
      </c>
      <c r="K409" s="41">
        <v>6259.915</v>
      </c>
      <c r="L409" s="41">
        <v>12.414999999999999</v>
      </c>
      <c r="M409" s="41">
        <v>-271.928</v>
      </c>
      <c r="N409" s="43">
        <f t="shared" si="83"/>
        <v>394.51</v>
      </c>
      <c r="O409" s="41">
        <v>-666.43799999999999</v>
      </c>
      <c r="P409" s="44">
        <v>0</v>
      </c>
      <c r="Q409" s="44">
        <v>0</v>
      </c>
      <c r="R409" s="45">
        <f t="shared" si="84"/>
        <v>0</v>
      </c>
      <c r="S409" s="46">
        <v>8072</v>
      </c>
    </row>
    <row r="410" spans="2:19" ht="15.75" x14ac:dyDescent="0.25">
      <c r="B410" s="38">
        <f t="shared" si="85"/>
        <v>5</v>
      </c>
      <c r="C410" s="38" t="s">
        <v>636</v>
      </c>
      <c r="D410" s="39" t="s">
        <v>637</v>
      </c>
      <c r="E410" s="40">
        <v>44377</v>
      </c>
      <c r="F410" s="41">
        <v>4381.1909999999998</v>
      </c>
      <c r="G410" s="42">
        <v>10</v>
      </c>
      <c r="H410" s="43">
        <f t="shared" si="82"/>
        <v>438.1191</v>
      </c>
      <c r="I410" s="41">
        <v>73477.873000000007</v>
      </c>
      <c r="J410" s="41">
        <v>137894.69699999999</v>
      </c>
      <c r="K410" s="41">
        <v>45107.69</v>
      </c>
      <c r="L410" s="41">
        <v>2920.875</v>
      </c>
      <c r="M410" s="41">
        <v>4771.4049999999997</v>
      </c>
      <c r="N410" s="43">
        <f t="shared" si="83"/>
        <v>1050.1319999999996</v>
      </c>
      <c r="O410" s="41">
        <v>3721.2730000000001</v>
      </c>
      <c r="P410" s="44">
        <v>10</v>
      </c>
      <c r="Q410" s="44">
        <v>0</v>
      </c>
      <c r="R410" s="45">
        <f t="shared" si="84"/>
        <v>10</v>
      </c>
      <c r="S410" s="46">
        <v>9685</v>
      </c>
    </row>
    <row r="411" spans="2:19" ht="15.75" x14ac:dyDescent="0.25">
      <c r="B411" s="38">
        <f t="shared" si="85"/>
        <v>6</v>
      </c>
      <c r="C411" s="38" t="s">
        <v>638</v>
      </c>
      <c r="D411" s="39" t="s">
        <v>639</v>
      </c>
      <c r="E411" s="40">
        <v>44377</v>
      </c>
      <c r="F411" s="41">
        <v>13798.15</v>
      </c>
      <c r="G411" s="42">
        <v>10</v>
      </c>
      <c r="H411" s="43">
        <f t="shared" si="82"/>
        <v>1379.8150000000001</v>
      </c>
      <c r="I411" s="41">
        <v>23275.670999999998</v>
      </c>
      <c r="J411" s="41">
        <v>34052.231</v>
      </c>
      <c r="K411" s="41">
        <v>24271.285</v>
      </c>
      <c r="L411" s="41">
        <v>109.623</v>
      </c>
      <c r="M411" s="41">
        <v>5107.692</v>
      </c>
      <c r="N411" s="43">
        <f t="shared" si="83"/>
        <v>1636.3409999999999</v>
      </c>
      <c r="O411" s="41">
        <v>3471.3510000000001</v>
      </c>
      <c r="P411" s="44">
        <v>0</v>
      </c>
      <c r="Q411" s="44">
        <v>0</v>
      </c>
      <c r="R411" s="45">
        <f t="shared" si="84"/>
        <v>0</v>
      </c>
      <c r="S411" s="46">
        <v>12493</v>
      </c>
    </row>
    <row r="412" spans="2:19" ht="15.75" x14ac:dyDescent="0.25">
      <c r="B412" s="38">
        <f t="shared" si="85"/>
        <v>7</v>
      </c>
      <c r="C412" s="38" t="s">
        <v>640</v>
      </c>
      <c r="D412" s="39" t="s">
        <v>641</v>
      </c>
      <c r="E412" s="40">
        <v>44377</v>
      </c>
      <c r="F412" s="41">
        <v>501.6</v>
      </c>
      <c r="G412" s="42">
        <v>10</v>
      </c>
      <c r="H412" s="43">
        <f t="shared" si="82"/>
        <v>50.160000000000004</v>
      </c>
      <c r="I412" s="41">
        <v>3467.0619999999999</v>
      </c>
      <c r="J412" s="41">
        <v>6033.0069999999996</v>
      </c>
      <c r="K412" s="41">
        <v>4961.375</v>
      </c>
      <c r="L412" s="41">
        <v>75.814999999999998</v>
      </c>
      <c r="M412" s="41">
        <v>-63.381</v>
      </c>
      <c r="N412" s="43">
        <f t="shared" si="83"/>
        <v>3.9060000000000059</v>
      </c>
      <c r="O412" s="41">
        <v>-67.287000000000006</v>
      </c>
      <c r="P412" s="44">
        <v>0</v>
      </c>
      <c r="Q412" s="44">
        <v>0</v>
      </c>
      <c r="R412" s="45">
        <f t="shared" si="84"/>
        <v>0</v>
      </c>
      <c r="S412" s="46">
        <v>1993</v>
      </c>
    </row>
    <row r="413" spans="2:19" ht="15.75" x14ac:dyDescent="0.25">
      <c r="B413" s="38">
        <f t="shared" si="85"/>
        <v>8</v>
      </c>
      <c r="C413" s="38" t="s">
        <v>642</v>
      </c>
      <c r="D413" s="39" t="s">
        <v>643</v>
      </c>
      <c r="E413" s="40">
        <v>44377</v>
      </c>
      <c r="F413" s="41">
        <v>3760</v>
      </c>
      <c r="G413" s="42">
        <v>10</v>
      </c>
      <c r="H413" s="43">
        <f t="shared" si="82"/>
        <v>376</v>
      </c>
      <c r="I413" s="41">
        <v>8971.5162779999991</v>
      </c>
      <c r="J413" s="41">
        <v>18279.676635</v>
      </c>
      <c r="K413" s="41">
        <v>3205.7284770000001</v>
      </c>
      <c r="L413" s="41">
        <v>71.675623000000002</v>
      </c>
      <c r="M413" s="41">
        <v>253.69763699999999</v>
      </c>
      <c r="N413" s="43">
        <f t="shared" si="83"/>
        <v>110.01289499999999</v>
      </c>
      <c r="O413" s="41">
        <v>143.684742</v>
      </c>
      <c r="P413" s="44">
        <v>0</v>
      </c>
      <c r="Q413" s="44">
        <v>5</v>
      </c>
      <c r="R413" s="45">
        <f t="shared" si="84"/>
        <v>5</v>
      </c>
      <c r="S413" s="46">
        <v>5611</v>
      </c>
    </row>
    <row r="414" spans="2:19" ht="15.75" x14ac:dyDescent="0.25">
      <c r="B414" s="38">
        <f t="shared" si="85"/>
        <v>9</v>
      </c>
      <c r="C414" s="38" t="s">
        <v>644</v>
      </c>
      <c r="D414" s="39" t="s">
        <v>645</v>
      </c>
      <c r="E414" s="40">
        <v>44377</v>
      </c>
      <c r="F414" s="41">
        <v>4002.739</v>
      </c>
      <c r="G414" s="42">
        <v>10</v>
      </c>
      <c r="H414" s="43">
        <f t="shared" si="82"/>
        <v>400.27390000000003</v>
      </c>
      <c r="I414" s="41">
        <v>15757.291999999999</v>
      </c>
      <c r="J414" s="41">
        <v>26653.800999999999</v>
      </c>
      <c r="K414" s="41">
        <v>12106.985000000001</v>
      </c>
      <c r="L414" s="41">
        <v>420.98899999999998</v>
      </c>
      <c r="M414" s="41">
        <v>2288.098</v>
      </c>
      <c r="N414" s="43">
        <f t="shared" si="83"/>
        <v>736.71499999999992</v>
      </c>
      <c r="O414" s="41">
        <v>1551.383</v>
      </c>
      <c r="P414" s="44">
        <f>7.5</f>
        <v>7.5</v>
      </c>
      <c r="Q414" s="44">
        <v>0</v>
      </c>
      <c r="R414" s="45">
        <f t="shared" si="84"/>
        <v>7.5</v>
      </c>
      <c r="S414" s="46">
        <v>3135</v>
      </c>
    </row>
    <row r="415" spans="2:19" ht="15.75" x14ac:dyDescent="0.25">
      <c r="B415" s="38">
        <f t="shared" si="85"/>
        <v>10</v>
      </c>
      <c r="C415" s="38" t="s">
        <v>646</v>
      </c>
      <c r="D415" s="39" t="s">
        <v>647</v>
      </c>
      <c r="E415" s="40">
        <v>44377</v>
      </c>
      <c r="F415" s="41">
        <v>3173.837</v>
      </c>
      <c r="G415" s="42">
        <v>10</v>
      </c>
      <c r="H415" s="43">
        <f t="shared" si="82"/>
        <v>317.38369999999998</v>
      </c>
      <c r="I415" s="41">
        <v>17852.266</v>
      </c>
      <c r="J415" s="41">
        <v>27998.944</v>
      </c>
      <c r="K415" s="41">
        <v>1047.2860000000001</v>
      </c>
      <c r="L415" s="41">
        <v>107.22</v>
      </c>
      <c r="M415" s="41">
        <v>370.17099999999999</v>
      </c>
      <c r="N415" s="43">
        <f t="shared" si="83"/>
        <v>38.930999999999983</v>
      </c>
      <c r="O415" s="41">
        <v>331.24</v>
      </c>
      <c r="P415" s="44">
        <v>0</v>
      </c>
      <c r="Q415" s="44">
        <v>20</v>
      </c>
      <c r="R415" s="45">
        <f t="shared" si="84"/>
        <v>20</v>
      </c>
      <c r="S415" s="46">
        <v>3156</v>
      </c>
    </row>
    <row r="416" spans="2:19" ht="15.75" x14ac:dyDescent="0.25">
      <c r="B416" s="38">
        <f t="shared" si="85"/>
        <v>11</v>
      </c>
      <c r="C416" s="38" t="s">
        <v>648</v>
      </c>
      <c r="D416" s="39" t="s">
        <v>649</v>
      </c>
      <c r="E416" s="40">
        <v>44377</v>
      </c>
      <c r="F416" s="41">
        <v>2008.6129699999999</v>
      </c>
      <c r="G416" s="42">
        <v>10</v>
      </c>
      <c r="H416" s="43">
        <f t="shared" si="82"/>
        <v>200.86129699999998</v>
      </c>
      <c r="I416" s="41">
        <v>22223.539370999999</v>
      </c>
      <c r="J416" s="41">
        <v>36086.921436999997</v>
      </c>
      <c r="K416" s="41">
        <v>24057.375992000001</v>
      </c>
      <c r="L416" s="41">
        <v>517.05541300000004</v>
      </c>
      <c r="M416" s="41">
        <v>4885.9546069999997</v>
      </c>
      <c r="N416" s="43">
        <f t="shared" si="83"/>
        <v>1388.4473599999997</v>
      </c>
      <c r="O416" s="41">
        <v>3497.507247</v>
      </c>
      <c r="P416" s="44">
        <v>0</v>
      </c>
      <c r="Q416" s="44">
        <v>0</v>
      </c>
      <c r="R416" s="45">
        <f t="shared" si="84"/>
        <v>0</v>
      </c>
      <c r="S416" s="46">
        <v>2709</v>
      </c>
    </row>
    <row r="417" spans="2:19" ht="15.75" x14ac:dyDescent="0.25">
      <c r="B417" s="38">
        <f t="shared" si="85"/>
        <v>12</v>
      </c>
      <c r="C417" s="38" t="s">
        <v>650</v>
      </c>
      <c r="D417" s="39" t="s">
        <v>651</v>
      </c>
      <c r="E417" s="40">
        <v>44377</v>
      </c>
      <c r="F417" s="41">
        <v>3233.75</v>
      </c>
      <c r="G417" s="42">
        <v>10</v>
      </c>
      <c r="H417" s="43">
        <f t="shared" si="82"/>
        <v>323.375</v>
      </c>
      <c r="I417" s="41">
        <v>113200.258</v>
      </c>
      <c r="J417" s="41">
        <v>156368.06200000001</v>
      </c>
      <c r="K417" s="41">
        <v>62940.805</v>
      </c>
      <c r="L417" s="41">
        <v>332.90499999999997</v>
      </c>
      <c r="M417" s="41">
        <v>16992.213</v>
      </c>
      <c r="N417" s="43">
        <f t="shared" si="83"/>
        <v>2922.0239999999994</v>
      </c>
      <c r="O417" s="41">
        <v>14070.189</v>
      </c>
      <c r="P417" s="44">
        <v>0</v>
      </c>
      <c r="Q417" s="44">
        <v>0</v>
      </c>
      <c r="R417" s="45">
        <f t="shared" si="84"/>
        <v>0</v>
      </c>
      <c r="S417" s="46">
        <v>8888</v>
      </c>
    </row>
    <row r="418" spans="2:19" ht="15.75" x14ac:dyDescent="0.25">
      <c r="B418" s="38">
        <f t="shared" si="85"/>
        <v>13</v>
      </c>
      <c r="C418" s="38" t="s">
        <v>652</v>
      </c>
      <c r="D418" s="39" t="s">
        <v>653</v>
      </c>
      <c r="E418" s="40">
        <v>44377</v>
      </c>
      <c r="F418" s="41">
        <v>10983.462</v>
      </c>
      <c r="G418" s="42">
        <v>10</v>
      </c>
      <c r="H418" s="43">
        <f t="shared" si="82"/>
        <v>1098.3462</v>
      </c>
      <c r="I418" s="41">
        <v>37542.540999999997</v>
      </c>
      <c r="J418" s="41">
        <v>66239.278000000006</v>
      </c>
      <c r="K418" s="41">
        <v>35640.180999999997</v>
      </c>
      <c r="L418" s="41">
        <v>1493.93</v>
      </c>
      <c r="M418" s="41">
        <v>7289.6009999999997</v>
      </c>
      <c r="N418" s="43">
        <f t="shared" si="83"/>
        <v>1035.4919999999993</v>
      </c>
      <c r="O418" s="41">
        <v>6254.1090000000004</v>
      </c>
      <c r="P418" s="44">
        <v>0</v>
      </c>
      <c r="Q418" s="44">
        <v>0</v>
      </c>
      <c r="R418" s="45">
        <f t="shared" si="84"/>
        <v>0</v>
      </c>
      <c r="S418" s="46">
        <v>13800</v>
      </c>
    </row>
    <row r="419" spans="2:19" ht="15.75" x14ac:dyDescent="0.25">
      <c r="B419" s="38">
        <f t="shared" si="85"/>
        <v>14</v>
      </c>
      <c r="C419" s="38" t="s">
        <v>654</v>
      </c>
      <c r="D419" s="39" t="s">
        <v>655</v>
      </c>
      <c r="E419" s="40">
        <v>44377</v>
      </c>
      <c r="F419" s="41">
        <v>2271.489</v>
      </c>
      <c r="G419" s="42">
        <v>10</v>
      </c>
      <c r="H419" s="43">
        <f t="shared" si="82"/>
        <v>227.1489</v>
      </c>
      <c r="I419" s="41">
        <v>15099.29</v>
      </c>
      <c r="J419" s="41">
        <v>51480.898999999998</v>
      </c>
      <c r="K419" s="41">
        <v>21817.605</v>
      </c>
      <c r="L419" s="41">
        <v>1817.683</v>
      </c>
      <c r="M419" s="41">
        <v>2203.0349999999999</v>
      </c>
      <c r="N419" s="43">
        <f t="shared" si="83"/>
        <v>228.58899999999994</v>
      </c>
      <c r="O419" s="41">
        <v>1974.4459999999999</v>
      </c>
      <c r="P419" s="44">
        <v>0</v>
      </c>
      <c r="Q419" s="44">
        <v>0</v>
      </c>
      <c r="R419" s="45">
        <f t="shared" si="84"/>
        <v>0</v>
      </c>
      <c r="S419" s="46">
        <v>7461</v>
      </c>
    </row>
    <row r="420" spans="2:19" ht="15.75" x14ac:dyDescent="0.25">
      <c r="B420" s="38">
        <f t="shared" si="85"/>
        <v>15</v>
      </c>
      <c r="C420" s="38" t="s">
        <v>656</v>
      </c>
      <c r="D420" s="39" t="s">
        <v>657</v>
      </c>
      <c r="E420" s="40">
        <v>44377</v>
      </c>
      <c r="F420" s="41">
        <v>10634.144</v>
      </c>
      <c r="G420" s="42">
        <v>10</v>
      </c>
      <c r="H420" s="43">
        <f t="shared" si="82"/>
        <v>1063.4144000000001</v>
      </c>
      <c r="I420" s="41">
        <v>13079.996999999999</v>
      </c>
      <c r="J420" s="41">
        <v>45491.678</v>
      </c>
      <c r="K420" s="41">
        <v>14220.612999999999</v>
      </c>
      <c r="L420" s="41">
        <v>2611.453</v>
      </c>
      <c r="M420" s="41">
        <v>-671.20799999999997</v>
      </c>
      <c r="N420" s="43">
        <f t="shared" si="83"/>
        <v>-1029.567</v>
      </c>
      <c r="O420" s="41">
        <v>358.35899999999998</v>
      </c>
      <c r="P420" s="44">
        <v>0</v>
      </c>
      <c r="Q420" s="44">
        <v>0</v>
      </c>
      <c r="R420" s="45">
        <f t="shared" si="84"/>
        <v>0</v>
      </c>
      <c r="S420" s="46">
        <v>12425</v>
      </c>
    </row>
    <row r="421" spans="2:19" ht="15.75" x14ac:dyDescent="0.25">
      <c r="B421" s="38"/>
      <c r="C421" s="38" t="s">
        <v>658</v>
      </c>
      <c r="D421" s="39" t="s">
        <v>659</v>
      </c>
      <c r="E421" s="40">
        <v>44377</v>
      </c>
      <c r="F421" s="41">
        <v>2445.8530000000001</v>
      </c>
      <c r="G421" s="42">
        <v>10</v>
      </c>
      <c r="H421" s="43">
        <f t="shared" si="82"/>
        <v>244.58530000000002</v>
      </c>
      <c r="I421" s="41"/>
      <c r="J421" s="41"/>
      <c r="K421" s="41"/>
      <c r="L421" s="41"/>
      <c r="M421" s="41"/>
      <c r="N421" s="43">
        <f t="shared" si="83"/>
        <v>0</v>
      </c>
      <c r="O421" s="41"/>
      <c r="P421" s="44"/>
      <c r="Q421" s="44"/>
      <c r="R421" s="45">
        <f t="shared" ref="R421" si="86">SUM(P421:Q421)</f>
        <v>0</v>
      </c>
      <c r="S421" s="46"/>
    </row>
    <row r="422" spans="2:19" ht="15.75" x14ac:dyDescent="0.25">
      <c r="B422" s="38">
        <f>+B420+1</f>
        <v>16</v>
      </c>
      <c r="C422" s="38" t="s">
        <v>660</v>
      </c>
      <c r="D422" s="39" t="s">
        <v>661</v>
      </c>
      <c r="E422" s="40">
        <v>44377</v>
      </c>
      <c r="F422" s="41">
        <v>250</v>
      </c>
      <c r="G422" s="42">
        <v>10</v>
      </c>
      <c r="H422" s="43">
        <f t="shared" si="82"/>
        <v>25</v>
      </c>
      <c r="I422" s="41">
        <v>182.87116499999999</v>
      </c>
      <c r="J422" s="41">
        <v>520.82931399999995</v>
      </c>
      <c r="K422" s="41">
        <v>221.23249000000001</v>
      </c>
      <c r="L422" s="41">
        <v>9.6006719999999994</v>
      </c>
      <c r="M422" s="41">
        <v>-1.384363</v>
      </c>
      <c r="N422" s="43">
        <f t="shared" si="83"/>
        <v>-7.9510909999999999</v>
      </c>
      <c r="O422" s="41">
        <v>6.5667280000000003</v>
      </c>
      <c r="P422" s="44">
        <v>0</v>
      </c>
      <c r="Q422" s="44">
        <v>0</v>
      </c>
      <c r="R422" s="45">
        <f t="shared" si="84"/>
        <v>0</v>
      </c>
      <c r="S422" s="46">
        <v>843</v>
      </c>
    </row>
    <row r="423" spans="2:19" ht="15.75" x14ac:dyDescent="0.25">
      <c r="B423" s="38">
        <f t="shared" si="85"/>
        <v>17</v>
      </c>
      <c r="C423" s="38" t="s">
        <v>662</v>
      </c>
      <c r="D423" s="39" t="s">
        <v>663</v>
      </c>
      <c r="E423" s="40">
        <v>44377</v>
      </c>
      <c r="F423" s="41">
        <v>997.18100000000004</v>
      </c>
      <c r="G423" s="42">
        <v>10</v>
      </c>
      <c r="H423" s="43">
        <f t="shared" si="82"/>
        <v>99.718100000000007</v>
      </c>
      <c r="I423" s="41">
        <v>2664.2060000000001</v>
      </c>
      <c r="J423" s="41">
        <v>3695.0720000000001</v>
      </c>
      <c r="K423" s="41">
        <v>2427.3130000000001</v>
      </c>
      <c r="L423" s="41">
        <v>17.07</v>
      </c>
      <c r="M423" s="41">
        <v>250.11500000000001</v>
      </c>
      <c r="N423" s="43">
        <f t="shared" si="83"/>
        <v>48.322000000000003</v>
      </c>
      <c r="O423" s="41">
        <v>201.79300000000001</v>
      </c>
      <c r="P423" s="44">
        <v>2.5</v>
      </c>
      <c r="Q423" s="44">
        <v>0</v>
      </c>
      <c r="R423" s="45">
        <f t="shared" si="84"/>
        <v>2.5</v>
      </c>
      <c r="S423" s="46">
        <v>2164</v>
      </c>
    </row>
    <row r="425" spans="2:19" ht="15.75" x14ac:dyDescent="0.25">
      <c r="B425" s="75"/>
      <c r="C425" s="75"/>
      <c r="D425" s="48"/>
      <c r="E425" s="49"/>
      <c r="F425" s="50"/>
      <c r="G425" s="51"/>
      <c r="H425" s="52"/>
      <c r="I425" s="50"/>
      <c r="J425" s="50"/>
      <c r="K425" s="50"/>
      <c r="L425" s="50"/>
      <c r="M425" s="50"/>
      <c r="N425" s="52"/>
      <c r="O425" s="50"/>
      <c r="P425" s="53"/>
      <c r="Q425" s="53"/>
      <c r="R425" s="54"/>
      <c r="S425" s="55"/>
    </row>
    <row r="426" spans="2:19" ht="18.75" x14ac:dyDescent="0.3">
      <c r="B426" s="32"/>
      <c r="C426" s="32"/>
      <c r="D426" s="68" t="s">
        <v>41</v>
      </c>
      <c r="E426" s="33"/>
      <c r="F426" s="32"/>
      <c r="G426" s="51"/>
      <c r="H426" s="57"/>
      <c r="I426" s="35"/>
      <c r="J426" s="35"/>
      <c r="K426" s="35"/>
      <c r="L426" s="35"/>
      <c r="M426" s="35"/>
      <c r="N426" s="58"/>
      <c r="O426" s="35"/>
      <c r="P426" s="35"/>
      <c r="Q426" s="35"/>
      <c r="R426" s="58"/>
      <c r="S426" s="35"/>
    </row>
    <row r="427" spans="2:19" ht="15.75" x14ac:dyDescent="0.25">
      <c r="B427" s="38">
        <v>1</v>
      </c>
      <c r="C427" s="38" t="s">
        <v>664</v>
      </c>
      <c r="D427" s="59" t="s">
        <v>665</v>
      </c>
      <c r="E427" s="40">
        <v>44377</v>
      </c>
      <c r="F427" s="41">
        <v>982.36599999999999</v>
      </c>
      <c r="G427" s="42">
        <v>10</v>
      </c>
      <c r="H427" s="43">
        <f>+F427/G427</f>
        <v>98.236599999999996</v>
      </c>
      <c r="I427" s="41">
        <v>240.08099999999999</v>
      </c>
      <c r="J427" s="41">
        <v>248.84100000000001</v>
      </c>
      <c r="K427" s="41">
        <v>0</v>
      </c>
      <c r="L427" s="41">
        <v>2E-3</v>
      </c>
      <c r="M427" s="41">
        <v>-6.6790000000000003</v>
      </c>
      <c r="N427" s="43">
        <f>+M427-O427</f>
        <v>0</v>
      </c>
      <c r="O427" s="41">
        <v>-6.6790000000000003</v>
      </c>
      <c r="P427" s="44">
        <v>0</v>
      </c>
      <c r="Q427" s="44">
        <v>0</v>
      </c>
      <c r="R427" s="45">
        <f>SUM(P427:Q427)</f>
        <v>0</v>
      </c>
      <c r="S427" s="46">
        <v>4820</v>
      </c>
    </row>
    <row r="428" spans="2:19" ht="15.75" x14ac:dyDescent="0.25">
      <c r="B428" s="38">
        <f>+B427+1</f>
        <v>2</v>
      </c>
      <c r="C428" s="38" t="s">
        <v>666</v>
      </c>
      <c r="D428" s="39" t="s">
        <v>667</v>
      </c>
      <c r="E428" s="40">
        <v>44377</v>
      </c>
      <c r="F428" s="41">
        <v>948.39980000000003</v>
      </c>
      <c r="G428" s="42">
        <v>10</v>
      </c>
      <c r="H428" s="43">
        <f>+F428/G428</f>
        <v>94.839979999999997</v>
      </c>
      <c r="I428" s="41">
        <v>860.40459199999998</v>
      </c>
      <c r="J428" s="41">
        <v>4743.2893649999996</v>
      </c>
      <c r="K428" s="41">
        <v>0</v>
      </c>
      <c r="L428" s="41">
        <v>195.80680100000001</v>
      </c>
      <c r="M428" s="41">
        <v>-108.770414</v>
      </c>
      <c r="N428" s="43">
        <f>+M428-O428</f>
        <v>-31.027763000000007</v>
      </c>
      <c r="O428" s="41">
        <v>-77.742650999999995</v>
      </c>
      <c r="P428" s="44">
        <v>0</v>
      </c>
      <c r="Q428" s="44">
        <v>0</v>
      </c>
      <c r="R428" s="45">
        <f>SUM(P428:Q428)</f>
        <v>0</v>
      </c>
      <c r="S428" s="46">
        <v>753</v>
      </c>
    </row>
    <row r="429" spans="2:19" ht="15.75" x14ac:dyDescent="0.25">
      <c r="B429" s="38">
        <f>+B428+1</f>
        <v>3</v>
      </c>
      <c r="C429" s="38" t="s">
        <v>668</v>
      </c>
      <c r="D429" s="39" t="s">
        <v>669</v>
      </c>
      <c r="E429" s="40">
        <v>44377</v>
      </c>
      <c r="F429" s="41"/>
      <c r="G429" s="42">
        <v>10</v>
      </c>
      <c r="H429" s="43">
        <f>+F429/G429</f>
        <v>0</v>
      </c>
      <c r="I429" s="41"/>
      <c r="J429" s="41"/>
      <c r="K429" s="41"/>
      <c r="L429" s="41"/>
      <c r="M429" s="41"/>
      <c r="N429" s="43">
        <f>+M429-O429</f>
        <v>0</v>
      </c>
      <c r="O429" s="41"/>
      <c r="P429" s="44"/>
      <c r="Q429" s="44"/>
      <c r="R429" s="45">
        <f>SUM(P429:Q429)</f>
        <v>0</v>
      </c>
      <c r="S429" s="46"/>
    </row>
    <row r="430" spans="2:19" ht="15.75" x14ac:dyDescent="0.25">
      <c r="B430" s="75"/>
      <c r="C430" s="75"/>
      <c r="D430" s="48"/>
      <c r="E430" s="49"/>
      <c r="F430" s="50"/>
      <c r="G430" s="51"/>
      <c r="H430" s="52"/>
      <c r="I430" s="50"/>
      <c r="J430" s="50"/>
      <c r="K430" s="50"/>
      <c r="L430" s="50"/>
      <c r="M430" s="50"/>
      <c r="N430" s="52"/>
      <c r="O430" s="50"/>
      <c r="P430" s="53"/>
      <c r="Q430" s="53"/>
      <c r="R430" s="54"/>
      <c r="S430" s="55"/>
    </row>
    <row r="431" spans="2:19" ht="15.75" x14ac:dyDescent="0.25">
      <c r="B431" s="38">
        <f>COUNT(B406:B430)</f>
        <v>20</v>
      </c>
      <c r="C431" s="38"/>
      <c r="D431" s="60"/>
      <c r="E431" s="40"/>
      <c r="F431" s="60">
        <f>SUM(F406:F430)</f>
        <v>78493.655769999998</v>
      </c>
      <c r="G431" s="61"/>
      <c r="H431" s="62">
        <f t="shared" ref="H431:O431" si="87">SUM(H406:H430)</f>
        <v>7849.3655770000005</v>
      </c>
      <c r="I431" s="60">
        <f t="shared" si="87"/>
        <v>459742.87340599997</v>
      </c>
      <c r="J431" s="60">
        <f t="shared" si="87"/>
        <v>818467.83575099998</v>
      </c>
      <c r="K431" s="60">
        <f t="shared" si="87"/>
        <v>361601.08695900004</v>
      </c>
      <c r="L431" s="60">
        <f t="shared" si="87"/>
        <v>13666.368509</v>
      </c>
      <c r="M431" s="60">
        <f t="shared" si="87"/>
        <v>64703.802467000009</v>
      </c>
      <c r="N431" s="63">
        <f t="shared" si="87"/>
        <v>14049.915401000002</v>
      </c>
      <c r="O431" s="60">
        <f t="shared" si="87"/>
        <v>50653.887065999996</v>
      </c>
      <c r="P431" s="64"/>
      <c r="Q431" s="64"/>
      <c r="R431" s="65"/>
      <c r="S431" s="66">
        <f>SUM(S406:S430)</f>
        <v>113867</v>
      </c>
    </row>
    <row r="432" spans="2:19" ht="15.75" x14ac:dyDescent="0.25">
      <c r="B432" s="75"/>
      <c r="C432" s="75"/>
      <c r="D432" s="48"/>
      <c r="E432" s="49"/>
      <c r="F432" s="50"/>
      <c r="G432" s="51"/>
      <c r="H432" s="52"/>
      <c r="I432" s="50"/>
      <c r="J432" s="50"/>
      <c r="K432" s="50"/>
      <c r="L432" s="50"/>
      <c r="M432" s="50"/>
      <c r="N432" s="52"/>
      <c r="O432" s="50"/>
      <c r="P432" s="53"/>
      <c r="Q432" s="53"/>
      <c r="R432" s="54"/>
      <c r="S432" s="55"/>
    </row>
    <row r="433" spans="2:19" ht="15.75" x14ac:dyDescent="0.25">
      <c r="B433" s="75"/>
      <c r="C433" s="75"/>
      <c r="D433" s="48"/>
      <c r="E433" s="49"/>
      <c r="F433" s="50"/>
      <c r="G433" s="51"/>
      <c r="H433" s="52"/>
      <c r="I433" s="50"/>
      <c r="J433" s="50"/>
      <c r="K433" s="50"/>
      <c r="L433" s="50"/>
      <c r="M433" s="50"/>
      <c r="N433" s="52"/>
      <c r="O433" s="50"/>
      <c r="P433" s="53"/>
      <c r="Q433" s="53"/>
      <c r="R433" s="54"/>
      <c r="S433" s="55"/>
    </row>
    <row r="434" spans="2:19" ht="18.75" x14ac:dyDescent="0.3">
      <c r="B434" s="32"/>
      <c r="C434" s="37">
        <v>16</v>
      </c>
      <c r="D434" s="37" t="s">
        <v>670</v>
      </c>
      <c r="E434" s="73"/>
      <c r="F434" s="74"/>
      <c r="G434" s="51"/>
      <c r="H434" s="57"/>
      <c r="I434" s="35"/>
      <c r="J434" s="35"/>
      <c r="K434" s="35"/>
      <c r="L434" s="35"/>
      <c r="M434" s="35"/>
      <c r="N434" s="58"/>
      <c r="O434" s="35"/>
      <c r="P434" s="35"/>
      <c r="Q434" s="35"/>
      <c r="R434" s="58"/>
      <c r="S434" s="35"/>
    </row>
    <row r="435" spans="2:19" ht="15.75" x14ac:dyDescent="0.25">
      <c r="B435" s="75"/>
      <c r="C435" s="75"/>
      <c r="D435" s="48"/>
      <c r="E435" s="49"/>
      <c r="F435" s="50"/>
      <c r="G435" s="51"/>
      <c r="H435" s="52"/>
      <c r="I435" s="50"/>
      <c r="J435" s="50"/>
      <c r="K435" s="50"/>
      <c r="L435" s="50"/>
      <c r="M435" s="50"/>
      <c r="N435" s="52"/>
      <c r="O435" s="50"/>
      <c r="P435" s="53"/>
      <c r="Q435" s="53"/>
      <c r="R435" s="54"/>
      <c r="S435" s="55"/>
    </row>
    <row r="436" spans="2:19" ht="15.75" x14ac:dyDescent="0.25">
      <c r="B436" s="38">
        <v>1</v>
      </c>
      <c r="C436" s="38" t="s">
        <v>671</v>
      </c>
      <c r="D436" s="39" t="s">
        <v>672</v>
      </c>
      <c r="E436" s="40">
        <v>44377</v>
      </c>
      <c r="F436" s="41">
        <v>48.073639999999997</v>
      </c>
      <c r="G436" s="42">
        <v>10</v>
      </c>
      <c r="H436" s="43">
        <f>+F436/G436</f>
        <v>4.8073639999999997</v>
      </c>
      <c r="I436" s="41">
        <v>1230.956334</v>
      </c>
      <c r="J436" s="41">
        <v>3411.4336280000002</v>
      </c>
      <c r="K436" s="41">
        <v>1216.0363890000001</v>
      </c>
      <c r="L436" s="41">
        <v>54.088920999999999</v>
      </c>
      <c r="M436" s="41">
        <v>-83.077291000000002</v>
      </c>
      <c r="N436" s="43">
        <f>+M436-O436</f>
        <v>-14.430960999999996</v>
      </c>
      <c r="O436" s="41">
        <v>-68.646330000000006</v>
      </c>
      <c r="P436" s="44">
        <v>0</v>
      </c>
      <c r="Q436" s="44">
        <v>0</v>
      </c>
      <c r="R436" s="45">
        <f>SUM(P436:Q436)</f>
        <v>0</v>
      </c>
      <c r="S436" s="46">
        <v>1124</v>
      </c>
    </row>
    <row r="437" spans="2:19" ht="15.75" x14ac:dyDescent="0.25">
      <c r="B437" s="38">
        <f>+B436+1</f>
        <v>2</v>
      </c>
      <c r="C437" s="38" t="s">
        <v>673</v>
      </c>
      <c r="D437" s="39" t="s">
        <v>674</v>
      </c>
      <c r="E437" s="40">
        <v>44561</v>
      </c>
      <c r="F437" s="41">
        <v>2554.9380000000001</v>
      </c>
      <c r="G437" s="42">
        <v>10</v>
      </c>
      <c r="H437" s="43">
        <f>+F437/G437</f>
        <v>255.49380000000002</v>
      </c>
      <c r="I437" s="41"/>
      <c r="J437" s="41"/>
      <c r="K437" s="41"/>
      <c r="L437" s="41"/>
      <c r="M437" s="41">
        <v>26207.047999999999</v>
      </c>
      <c r="N437" s="43">
        <f>+M437-O437</f>
        <v>7344.9609999999993</v>
      </c>
      <c r="O437" s="41">
        <v>18862.087</v>
      </c>
      <c r="P437" s="44">
        <f>260+260+280</f>
        <v>800</v>
      </c>
      <c r="Q437" s="44">
        <v>0</v>
      </c>
      <c r="R437" s="45">
        <f>SUM(P437:Q437)</f>
        <v>800</v>
      </c>
      <c r="S437" s="46"/>
    </row>
    <row r="438" spans="2:19" ht="15.75" x14ac:dyDescent="0.25">
      <c r="B438" s="38">
        <f>+B437+1</f>
        <v>3</v>
      </c>
      <c r="C438" s="38" t="s">
        <v>675</v>
      </c>
      <c r="D438" s="39" t="s">
        <v>676</v>
      </c>
      <c r="E438" s="40">
        <v>44561</v>
      </c>
      <c r="F438" s="41">
        <v>615.79999999999995</v>
      </c>
      <c r="G438" s="42">
        <v>10</v>
      </c>
      <c r="H438" s="43">
        <f>+F438/G438</f>
        <v>61.58</v>
      </c>
      <c r="I438" s="41"/>
      <c r="J438" s="41"/>
      <c r="K438" s="41"/>
      <c r="L438" s="41"/>
      <c r="M438" s="41">
        <v>3343.306</v>
      </c>
      <c r="N438" s="43">
        <f>+M438-O438</f>
        <v>1036.643</v>
      </c>
      <c r="O438" s="41">
        <v>2306.663</v>
      </c>
      <c r="P438" s="44">
        <v>0</v>
      </c>
      <c r="Q438" s="44">
        <v>0</v>
      </c>
      <c r="R438" s="45">
        <f>SUM(P438:Q438)</f>
        <v>0</v>
      </c>
      <c r="S438" s="46"/>
    </row>
    <row r="439" spans="2:19" ht="15.75" x14ac:dyDescent="0.25">
      <c r="B439" s="75"/>
      <c r="C439" s="75"/>
      <c r="D439" s="48"/>
      <c r="E439" s="49"/>
      <c r="F439" s="50"/>
      <c r="G439" s="51"/>
      <c r="H439" s="52"/>
      <c r="I439" s="50"/>
      <c r="J439" s="50"/>
      <c r="K439" s="50"/>
      <c r="L439" s="50"/>
      <c r="M439" s="50"/>
      <c r="N439" s="52"/>
      <c r="O439" s="50"/>
      <c r="P439" s="53"/>
      <c r="Q439" s="53"/>
      <c r="R439" s="54"/>
      <c r="S439" s="55"/>
    </row>
    <row r="440" spans="2:19" ht="15.75" x14ac:dyDescent="0.25">
      <c r="B440" s="38">
        <f>COUNT(B436:B439)</f>
        <v>3</v>
      </c>
      <c r="C440" s="38"/>
      <c r="D440" s="60"/>
      <c r="E440" s="40"/>
      <c r="F440" s="60">
        <f>SUM(F436:F439)</f>
        <v>3218.8116399999999</v>
      </c>
      <c r="G440" s="61"/>
      <c r="H440" s="62">
        <f t="shared" ref="H440:O440" si="88">SUM(H436:H439)</f>
        <v>321.88116400000001</v>
      </c>
      <c r="I440" s="60">
        <f t="shared" si="88"/>
        <v>1230.956334</v>
      </c>
      <c r="J440" s="60">
        <f t="shared" si="88"/>
        <v>3411.4336280000002</v>
      </c>
      <c r="K440" s="60">
        <f t="shared" si="88"/>
        <v>1216.0363890000001</v>
      </c>
      <c r="L440" s="60">
        <f t="shared" si="88"/>
        <v>54.088920999999999</v>
      </c>
      <c r="M440" s="60">
        <f t="shared" si="88"/>
        <v>29467.276708999998</v>
      </c>
      <c r="N440" s="63">
        <f t="shared" si="88"/>
        <v>8367.1730389999993</v>
      </c>
      <c r="O440" s="60">
        <f t="shared" si="88"/>
        <v>21100.10367</v>
      </c>
      <c r="P440" s="64"/>
      <c r="Q440" s="64"/>
      <c r="R440" s="65"/>
      <c r="S440" s="66">
        <f>SUM(S436:S439)</f>
        <v>1124</v>
      </c>
    </row>
    <row r="441" spans="2:19" ht="15.75" x14ac:dyDescent="0.25">
      <c r="B441" s="75"/>
      <c r="C441" s="75"/>
      <c r="D441" s="48"/>
      <c r="E441" s="49"/>
      <c r="F441" s="50"/>
      <c r="G441" s="51"/>
      <c r="H441" s="52"/>
      <c r="I441" s="50"/>
      <c r="J441" s="50"/>
      <c r="K441" s="50"/>
      <c r="L441" s="50"/>
      <c r="M441" s="50"/>
      <c r="N441" s="52"/>
      <c r="O441" s="50"/>
      <c r="P441" s="53"/>
      <c r="Q441" s="53"/>
      <c r="R441" s="54"/>
      <c r="S441" s="55"/>
    </row>
    <row r="442" spans="2:19" ht="15.75" x14ac:dyDescent="0.25">
      <c r="B442" s="75"/>
      <c r="C442" s="75"/>
      <c r="D442" s="48"/>
      <c r="E442" s="49"/>
      <c r="F442" s="50"/>
      <c r="G442" s="51"/>
      <c r="H442" s="52"/>
      <c r="I442" s="50"/>
      <c r="J442" s="50"/>
      <c r="K442" s="50"/>
      <c r="L442" s="50"/>
      <c r="M442" s="50"/>
      <c r="N442" s="52"/>
      <c r="O442" s="50"/>
      <c r="P442" s="53"/>
      <c r="Q442" s="53"/>
      <c r="R442" s="54"/>
      <c r="S442" s="55"/>
    </row>
    <row r="443" spans="2:19" ht="18.75" x14ac:dyDescent="0.3">
      <c r="B443" s="32"/>
      <c r="C443" s="37">
        <v>17</v>
      </c>
      <c r="D443" s="37" t="s">
        <v>677</v>
      </c>
      <c r="E443" s="73"/>
      <c r="F443" s="74"/>
      <c r="G443" s="51"/>
      <c r="H443" s="57"/>
      <c r="I443" s="35"/>
      <c r="J443" s="35"/>
      <c r="K443" s="35"/>
      <c r="L443" s="35"/>
      <c r="M443" s="35"/>
      <c r="N443" s="58"/>
      <c r="O443" s="35"/>
      <c r="P443" s="35"/>
      <c r="Q443" s="35"/>
      <c r="R443" s="58"/>
      <c r="S443" s="35"/>
    </row>
    <row r="444" spans="2:19" ht="15.75" x14ac:dyDescent="0.25">
      <c r="B444" s="75"/>
      <c r="C444" s="75"/>
      <c r="D444" s="48"/>
      <c r="E444" s="49"/>
      <c r="F444" s="50"/>
      <c r="G444" s="51"/>
      <c r="H444" s="52"/>
      <c r="I444" s="50"/>
      <c r="J444" s="50"/>
      <c r="K444" s="50"/>
      <c r="L444" s="50"/>
      <c r="M444" s="50"/>
      <c r="N444" s="52"/>
      <c r="O444" s="50"/>
      <c r="P444" s="53"/>
      <c r="Q444" s="53"/>
      <c r="R444" s="54"/>
      <c r="S444" s="55"/>
    </row>
    <row r="445" spans="2:19" ht="15.75" x14ac:dyDescent="0.25">
      <c r="B445" s="72">
        <v>1</v>
      </c>
      <c r="C445" s="72" t="s">
        <v>678</v>
      </c>
      <c r="D445" s="39" t="s">
        <v>679</v>
      </c>
      <c r="E445" s="40">
        <v>44377</v>
      </c>
      <c r="F445" s="41">
        <v>1066.163</v>
      </c>
      <c r="G445" s="42">
        <v>10</v>
      </c>
      <c r="H445" s="43">
        <f>+F445/G445</f>
        <v>106.6163</v>
      </c>
      <c r="I445" s="41">
        <v>41711.663</v>
      </c>
      <c r="J445" s="41">
        <v>103294.573</v>
      </c>
      <c r="K445" s="41">
        <v>127730.40700000001</v>
      </c>
      <c r="L445" s="41">
        <v>852.76400000000001</v>
      </c>
      <c r="M445" s="41">
        <f>-2356.909+141.524</f>
        <v>-2215.3850000000002</v>
      </c>
      <c r="N445" s="43">
        <f>+M445-O445</f>
        <v>-70.329000000000178</v>
      </c>
      <c r="O445" s="41">
        <v>-2145.056</v>
      </c>
      <c r="P445" s="44">
        <v>0</v>
      </c>
      <c r="Q445" s="44">
        <v>0</v>
      </c>
      <c r="R445" s="45">
        <f>SUM(P445:Q445)</f>
        <v>0</v>
      </c>
      <c r="S445" s="46">
        <v>5274</v>
      </c>
    </row>
    <row r="446" spans="2:19" ht="15.75" x14ac:dyDescent="0.25">
      <c r="B446" s="72">
        <f>+B445+1</f>
        <v>2</v>
      </c>
      <c r="C446" s="72" t="s">
        <v>680</v>
      </c>
      <c r="D446" s="39" t="s">
        <v>681</v>
      </c>
      <c r="E446" s="40">
        <v>44377</v>
      </c>
      <c r="F446" s="41">
        <v>53298.847000000002</v>
      </c>
      <c r="G446" s="42">
        <v>10</v>
      </c>
      <c r="H446" s="43">
        <f>+F446/G446</f>
        <v>5329.8847000000005</v>
      </c>
      <c r="I446" s="41">
        <v>29846.02</v>
      </c>
      <c r="J446" s="41">
        <v>137998.09899999999</v>
      </c>
      <c r="K446" s="41">
        <v>142150.29800000001</v>
      </c>
      <c r="L446" s="41">
        <v>2416.3609999999999</v>
      </c>
      <c r="M446" s="41">
        <v>3869.953</v>
      </c>
      <c r="N446" s="43">
        <f>+M446-O446</f>
        <v>274.11299999999983</v>
      </c>
      <c r="O446" s="41">
        <v>3595.84</v>
      </c>
      <c r="P446" s="44">
        <v>0</v>
      </c>
      <c r="Q446" s="44">
        <v>0</v>
      </c>
      <c r="R446" s="45">
        <f>SUM(P446:Q446)</f>
        <v>0</v>
      </c>
      <c r="S446" s="46">
        <v>22065</v>
      </c>
    </row>
    <row r="447" spans="2:19" ht="15.75" x14ac:dyDescent="0.25">
      <c r="B447" s="72">
        <f>+B446+1</f>
        <v>3</v>
      </c>
      <c r="C447" s="72" t="s">
        <v>682</v>
      </c>
      <c r="D447" s="39" t="s">
        <v>683</v>
      </c>
      <c r="E447" s="40">
        <v>44377</v>
      </c>
      <c r="F447" s="41">
        <v>799.66600000000005</v>
      </c>
      <c r="G447" s="42">
        <v>10</v>
      </c>
      <c r="H447" s="43">
        <f>+F447/G447</f>
        <v>79.9666</v>
      </c>
      <c r="I447" s="41">
        <v>31587.386999999999</v>
      </c>
      <c r="J447" s="41">
        <v>75681.516000000003</v>
      </c>
      <c r="K447" s="41">
        <v>139625.198</v>
      </c>
      <c r="L447" s="41">
        <v>940.38800000000003</v>
      </c>
      <c r="M447" s="41">
        <v>1400.2090000000001</v>
      </c>
      <c r="N447" s="43">
        <f>+M447-O447</f>
        <v>-369.89099999999985</v>
      </c>
      <c r="O447" s="41">
        <v>1770.1</v>
      </c>
      <c r="P447" s="44">
        <v>100</v>
      </c>
      <c r="Q447" s="44">
        <v>0</v>
      </c>
      <c r="R447" s="45">
        <f>SUM(P447:Q447)</f>
        <v>100</v>
      </c>
      <c r="S447" s="46">
        <v>5607</v>
      </c>
    </row>
    <row r="448" spans="2:19" ht="15.75" x14ac:dyDescent="0.25">
      <c r="B448" s="72">
        <f>+B447+1</f>
        <v>4</v>
      </c>
      <c r="C448" s="72" t="s">
        <v>684</v>
      </c>
      <c r="D448" s="39" t="s">
        <v>685</v>
      </c>
      <c r="E448" s="40">
        <v>44377</v>
      </c>
      <c r="F448" s="41">
        <v>6300</v>
      </c>
      <c r="G448" s="42">
        <v>10</v>
      </c>
      <c r="H448" s="43">
        <f>+F448/G448</f>
        <v>630</v>
      </c>
      <c r="I448" s="41">
        <v>2046.998</v>
      </c>
      <c r="J448" s="41">
        <v>40994.019999999997</v>
      </c>
      <c r="K448" s="41">
        <v>92084.09</v>
      </c>
      <c r="L448" s="41">
        <v>1311.384</v>
      </c>
      <c r="M448" s="41">
        <v>1639.0239999999999</v>
      </c>
      <c r="N448" s="43">
        <f>+M448-O448</f>
        <v>701.86799999999994</v>
      </c>
      <c r="O448" s="41">
        <v>937.15599999999995</v>
      </c>
      <c r="P448" s="44">
        <v>0</v>
      </c>
      <c r="Q448" s="44">
        <v>0</v>
      </c>
      <c r="R448" s="45">
        <f>SUM(P448:Q448)</f>
        <v>0</v>
      </c>
      <c r="S448" s="46">
        <v>12875</v>
      </c>
    </row>
    <row r="449" spans="2:19" ht="15.75" x14ac:dyDescent="0.25">
      <c r="B449" s="75"/>
      <c r="C449" s="75"/>
      <c r="D449" s="48"/>
      <c r="E449" s="49"/>
      <c r="F449" s="50"/>
      <c r="G449" s="51"/>
      <c r="H449" s="52"/>
      <c r="I449" s="50"/>
      <c r="J449" s="50"/>
      <c r="K449" s="50"/>
      <c r="L449" s="50"/>
      <c r="M449" s="50"/>
      <c r="N449" s="52"/>
      <c r="O449" s="50"/>
      <c r="P449" s="53"/>
      <c r="Q449" s="53"/>
      <c r="R449" s="54"/>
      <c r="S449" s="55"/>
    </row>
    <row r="450" spans="2:19" ht="15.75" x14ac:dyDescent="0.25">
      <c r="B450" s="38">
        <f>COUNT(B445:B449)</f>
        <v>4</v>
      </c>
      <c r="C450" s="38"/>
      <c r="D450" s="60"/>
      <c r="E450" s="40"/>
      <c r="F450" s="60">
        <f>SUM(F445:F449)</f>
        <v>61464.675999999999</v>
      </c>
      <c r="G450" s="61"/>
      <c r="H450" s="62">
        <f t="shared" ref="H450:O450" si="89">SUM(H445:H449)</f>
        <v>6146.4675999999999</v>
      </c>
      <c r="I450" s="60">
        <f t="shared" si="89"/>
        <v>105192.06800000001</v>
      </c>
      <c r="J450" s="60">
        <f t="shared" si="89"/>
        <v>357968.20799999998</v>
      </c>
      <c r="K450" s="60">
        <f t="shared" si="89"/>
        <v>501589.99300000002</v>
      </c>
      <c r="L450" s="60">
        <f t="shared" si="89"/>
        <v>5520.8969999999999</v>
      </c>
      <c r="M450" s="60">
        <f t="shared" si="89"/>
        <v>4693.8009999999995</v>
      </c>
      <c r="N450" s="63">
        <f t="shared" si="89"/>
        <v>535.76099999999974</v>
      </c>
      <c r="O450" s="60">
        <f t="shared" si="89"/>
        <v>4158.04</v>
      </c>
      <c r="P450" s="64"/>
      <c r="Q450" s="64"/>
      <c r="R450" s="65"/>
      <c r="S450" s="66">
        <f>SUM(S445:S449)</f>
        <v>45821</v>
      </c>
    </row>
    <row r="451" spans="2:19" ht="15.75" x14ac:dyDescent="0.25">
      <c r="B451" s="75"/>
      <c r="C451" s="75"/>
      <c r="D451" s="48"/>
      <c r="E451" s="49"/>
      <c r="F451" s="50"/>
      <c r="G451" s="51"/>
      <c r="H451" s="52"/>
      <c r="I451" s="50"/>
      <c r="J451" s="50"/>
      <c r="K451" s="50"/>
      <c r="L451" s="50"/>
      <c r="M451" s="50"/>
      <c r="N451" s="52"/>
      <c r="O451" s="50"/>
      <c r="P451" s="53"/>
      <c r="Q451" s="53"/>
      <c r="R451" s="54"/>
      <c r="S451" s="55"/>
    </row>
    <row r="452" spans="2:19" ht="15.75" x14ac:dyDescent="0.25">
      <c r="B452" s="75"/>
      <c r="C452" s="75"/>
      <c r="D452" s="48"/>
      <c r="E452" s="49"/>
      <c r="F452" s="50"/>
      <c r="G452" s="51"/>
      <c r="H452" s="52"/>
      <c r="I452" s="50"/>
      <c r="J452" s="50"/>
      <c r="K452" s="50"/>
      <c r="L452" s="50"/>
      <c r="M452" s="50"/>
      <c r="N452" s="52"/>
      <c r="O452" s="50"/>
      <c r="P452" s="53"/>
      <c r="Q452" s="53"/>
      <c r="R452" s="54"/>
      <c r="S452" s="55"/>
    </row>
    <row r="453" spans="2:19" ht="18.75" x14ac:dyDescent="0.3">
      <c r="B453" s="32"/>
      <c r="C453" s="37">
        <v>18</v>
      </c>
      <c r="D453" s="37" t="s">
        <v>686</v>
      </c>
      <c r="E453" s="73"/>
      <c r="F453" s="74"/>
      <c r="G453" s="51"/>
      <c r="H453" s="57"/>
      <c r="I453" s="35"/>
      <c r="J453" s="35"/>
      <c r="K453" s="35"/>
      <c r="L453" s="35"/>
      <c r="M453" s="35"/>
      <c r="N453" s="58"/>
      <c r="O453" s="35"/>
      <c r="P453" s="35"/>
      <c r="Q453" s="35"/>
      <c r="R453" s="58"/>
      <c r="S453" s="35"/>
    </row>
    <row r="454" spans="2:19" ht="15.75" x14ac:dyDescent="0.25">
      <c r="B454" s="75"/>
      <c r="C454" s="75"/>
      <c r="D454" s="48"/>
      <c r="E454" s="49"/>
      <c r="F454" s="50"/>
      <c r="G454" s="51"/>
      <c r="H454" s="52"/>
      <c r="I454" s="50"/>
      <c r="J454" s="50"/>
      <c r="K454" s="50"/>
      <c r="L454" s="50"/>
      <c r="M454" s="50"/>
      <c r="N454" s="52"/>
      <c r="O454" s="50"/>
      <c r="P454" s="53"/>
      <c r="Q454" s="53"/>
      <c r="R454" s="54"/>
      <c r="S454" s="55"/>
    </row>
    <row r="455" spans="2:19" ht="15.75" x14ac:dyDescent="0.25">
      <c r="B455" s="38">
        <v>1</v>
      </c>
      <c r="C455" s="38" t="s">
        <v>687</v>
      </c>
      <c r="D455" s="39" t="s">
        <v>688</v>
      </c>
      <c r="E455" s="40">
        <v>44377</v>
      </c>
      <c r="F455" s="41">
        <v>3633.8</v>
      </c>
      <c r="G455" s="42">
        <v>10</v>
      </c>
      <c r="H455" s="43">
        <f t="shared" ref="H455:H469" si="90">+F455/G455</f>
        <v>363.38</v>
      </c>
      <c r="I455" s="41">
        <v>4116.4799999999996</v>
      </c>
      <c r="J455" s="41">
        <v>4170.71</v>
      </c>
      <c r="K455" s="41">
        <v>204.10400000000001</v>
      </c>
      <c r="L455" s="41">
        <v>6.7569999999999997</v>
      </c>
      <c r="M455" s="41">
        <v>-85.552999999999997</v>
      </c>
      <c r="N455" s="43">
        <f t="shared" ref="N455:N469" si="91">+M455-O455</f>
        <v>-1.2379999999999995</v>
      </c>
      <c r="O455" s="41">
        <v>-84.314999999999998</v>
      </c>
      <c r="P455" s="44">
        <v>0</v>
      </c>
      <c r="Q455" s="44">
        <v>0</v>
      </c>
      <c r="R455" s="45">
        <f t="shared" ref="R455:R469" si="92">SUM(P455:Q455)</f>
        <v>0</v>
      </c>
      <c r="S455" s="46">
        <v>398</v>
      </c>
    </row>
    <row r="456" spans="2:19" ht="15.75" x14ac:dyDescent="0.25">
      <c r="B456" s="38">
        <f t="shared" ref="B456:B469" si="93">+B455+1</f>
        <v>2</v>
      </c>
      <c r="C456" s="38" t="s">
        <v>689</v>
      </c>
      <c r="D456" s="39" t="s">
        <v>690</v>
      </c>
      <c r="E456" s="40">
        <v>44561</v>
      </c>
      <c r="F456" s="41">
        <v>3238</v>
      </c>
      <c r="G456" s="42">
        <v>10</v>
      </c>
      <c r="H456" s="43">
        <f t="shared" si="90"/>
        <v>323.8</v>
      </c>
      <c r="I456" s="41">
        <v>16177.808000000001</v>
      </c>
      <c r="J456" s="41">
        <v>27444.637999999999</v>
      </c>
      <c r="K456" s="41">
        <v>10203.775</v>
      </c>
      <c r="L456" s="41">
        <v>1162.673</v>
      </c>
      <c r="M456" s="41">
        <v>1596.202</v>
      </c>
      <c r="N456" s="43">
        <f t="shared" si="91"/>
        <v>1.8949999999999818</v>
      </c>
      <c r="O456" s="41">
        <v>1594.307</v>
      </c>
      <c r="P456" s="44">
        <f>15+60</f>
        <v>75</v>
      </c>
      <c r="Q456" s="44">
        <v>0</v>
      </c>
      <c r="R456" s="45">
        <f t="shared" si="92"/>
        <v>75</v>
      </c>
      <c r="S456" s="46">
        <v>17867</v>
      </c>
    </row>
    <row r="457" spans="2:19" ht="15.75" x14ac:dyDescent="0.25">
      <c r="B457" s="38">
        <f t="shared" si="93"/>
        <v>3</v>
      </c>
      <c r="C457" s="38" t="s">
        <v>691</v>
      </c>
      <c r="D457" s="39" t="s">
        <v>692</v>
      </c>
      <c r="E457" s="40">
        <v>44377</v>
      </c>
      <c r="F457" s="41">
        <v>12971.544</v>
      </c>
      <c r="G457" s="42">
        <v>10</v>
      </c>
      <c r="H457" s="43">
        <f t="shared" si="90"/>
        <v>1297.1543999999999</v>
      </c>
      <c r="I457" s="41">
        <v>54924.434000000001</v>
      </c>
      <c r="J457" s="41">
        <v>160007.288</v>
      </c>
      <c r="K457" s="41">
        <v>32292.268</v>
      </c>
      <c r="L457" s="41">
        <v>5771.8379999999997</v>
      </c>
      <c r="M457" s="41">
        <v>22575.044000000002</v>
      </c>
      <c r="N457" s="43">
        <f t="shared" si="91"/>
        <v>1141.2050000000017</v>
      </c>
      <c r="O457" s="41">
        <v>21433.839</v>
      </c>
      <c r="P457" s="44">
        <f>40+30+50</f>
        <v>120</v>
      </c>
      <c r="Q457" s="44">
        <v>0</v>
      </c>
      <c r="R457" s="45">
        <f t="shared" si="92"/>
        <v>120</v>
      </c>
      <c r="S457" s="46">
        <v>16444</v>
      </c>
    </row>
    <row r="458" spans="2:19" ht="15.75" x14ac:dyDescent="0.25">
      <c r="B458" s="38">
        <f t="shared" si="93"/>
        <v>4</v>
      </c>
      <c r="C458" s="38" t="s">
        <v>693</v>
      </c>
      <c r="D458" s="39" t="s">
        <v>694</v>
      </c>
      <c r="E458" s="40">
        <v>44377</v>
      </c>
      <c r="F458" s="41">
        <v>8802.5319999999992</v>
      </c>
      <c r="G458" s="42">
        <v>10</v>
      </c>
      <c r="H458" s="43">
        <f t="shared" si="90"/>
        <v>880.25319999999988</v>
      </c>
      <c r="I458" s="41">
        <v>65223.610999999997</v>
      </c>
      <c r="J458" s="41">
        <v>152233.59599999999</v>
      </c>
      <c r="K458" s="41">
        <v>50349.025999999998</v>
      </c>
      <c r="L458" s="41">
        <v>3108.239</v>
      </c>
      <c r="M458" s="41">
        <v>14410.742</v>
      </c>
      <c r="N458" s="43">
        <f t="shared" si="91"/>
        <v>4181.3179999999993</v>
      </c>
      <c r="O458" s="41">
        <v>10229.424000000001</v>
      </c>
      <c r="P458" s="44">
        <f>15+50+35</f>
        <v>100</v>
      </c>
      <c r="Q458" s="44">
        <v>0</v>
      </c>
      <c r="R458" s="45">
        <f t="shared" si="92"/>
        <v>100</v>
      </c>
      <c r="S458" s="46">
        <v>16818</v>
      </c>
    </row>
    <row r="459" spans="2:19" ht="15.75" x14ac:dyDescent="0.25">
      <c r="B459" s="38">
        <f t="shared" si="93"/>
        <v>5</v>
      </c>
      <c r="C459" s="38" t="s">
        <v>695</v>
      </c>
      <c r="D459" s="39" t="s">
        <v>696</v>
      </c>
      <c r="E459" s="40">
        <v>44377</v>
      </c>
      <c r="F459" s="41">
        <v>96653.179000000004</v>
      </c>
      <c r="G459" s="42">
        <v>3.5</v>
      </c>
      <c r="H459" s="43">
        <f t="shared" si="90"/>
        <v>27615.194</v>
      </c>
      <c r="I459" s="41">
        <v>223951.516</v>
      </c>
      <c r="J459" s="41">
        <v>835677.42200000002</v>
      </c>
      <c r="K459" s="41">
        <v>325048.549</v>
      </c>
      <c r="L459" s="41">
        <v>11112.992</v>
      </c>
      <c r="M459" s="41">
        <v>15345.846</v>
      </c>
      <c r="N459" s="43">
        <f t="shared" si="91"/>
        <v>3347.6639999999989</v>
      </c>
      <c r="O459" s="41">
        <v>11998.182000000001</v>
      </c>
      <c r="P459" s="44">
        <v>0</v>
      </c>
      <c r="Q459" s="44">
        <v>0</v>
      </c>
      <c r="R459" s="45">
        <f t="shared" si="92"/>
        <v>0</v>
      </c>
      <c r="S459" s="46">
        <v>26497</v>
      </c>
    </row>
    <row r="460" spans="2:19" ht="15.75" x14ac:dyDescent="0.25">
      <c r="B460" s="38">
        <f t="shared" si="93"/>
        <v>6</v>
      </c>
      <c r="C460" s="38" t="s">
        <v>697</v>
      </c>
      <c r="D460" s="39" t="s">
        <v>698</v>
      </c>
      <c r="E460" s="40">
        <v>44377</v>
      </c>
      <c r="F460" s="41">
        <v>1694.586</v>
      </c>
      <c r="G460" s="42">
        <v>10</v>
      </c>
      <c r="H460" s="43">
        <f t="shared" si="90"/>
        <v>169.45859999999999</v>
      </c>
      <c r="I460" s="41">
        <v>6072.6989999999996</v>
      </c>
      <c r="J460" s="41">
        <v>10212.941000000001</v>
      </c>
      <c r="K460" s="41">
        <v>6752.33</v>
      </c>
      <c r="L460" s="41">
        <v>282.85599999999999</v>
      </c>
      <c r="M460" s="41">
        <v>1202.9839999999999</v>
      </c>
      <c r="N460" s="43">
        <f t="shared" si="91"/>
        <v>3.5629999999998745</v>
      </c>
      <c r="O460" s="41">
        <v>1199.421</v>
      </c>
      <c r="P460" s="44">
        <f>60+40</f>
        <v>100</v>
      </c>
      <c r="Q460" s="44">
        <v>0</v>
      </c>
      <c r="R460" s="45">
        <f t="shared" si="92"/>
        <v>100</v>
      </c>
      <c r="S460" s="46">
        <v>1545</v>
      </c>
    </row>
    <row r="461" spans="2:19" ht="15.75" x14ac:dyDescent="0.25">
      <c r="B461" s="38">
        <f t="shared" si="93"/>
        <v>7</v>
      </c>
      <c r="C461" s="38" t="s">
        <v>699</v>
      </c>
      <c r="D461" s="39" t="s">
        <v>700</v>
      </c>
      <c r="E461" s="40">
        <v>44377</v>
      </c>
      <c r="F461" s="41">
        <v>126</v>
      </c>
      <c r="G461" s="42">
        <v>10</v>
      </c>
      <c r="H461" s="43">
        <f>+F461/G461</f>
        <v>12.6</v>
      </c>
      <c r="I461" s="41">
        <v>131.85683800000001</v>
      </c>
      <c r="J461" s="41">
        <v>133.247466</v>
      </c>
      <c r="K461" s="41">
        <v>17.114326999999999</v>
      </c>
      <c r="L461" s="41">
        <v>3.3080000000000002E-3</v>
      </c>
      <c r="M461" s="41">
        <v>-1.9882569999999999</v>
      </c>
      <c r="N461" s="43">
        <f>+M461-O461</f>
        <v>0.16844100000000006</v>
      </c>
      <c r="O461" s="41">
        <v>-2.156698</v>
      </c>
      <c r="P461" s="44">
        <v>0</v>
      </c>
      <c r="Q461" s="44">
        <v>0</v>
      </c>
      <c r="R461" s="45">
        <f>SUM(P461:Q461)</f>
        <v>0</v>
      </c>
      <c r="S461" s="46">
        <v>1241</v>
      </c>
    </row>
    <row r="462" spans="2:19" ht="15.75" x14ac:dyDescent="0.25">
      <c r="B462" s="38">
        <f t="shared" si="93"/>
        <v>8</v>
      </c>
      <c r="C462" s="38" t="s">
        <v>701</v>
      </c>
      <c r="D462" s="39" t="s">
        <v>702</v>
      </c>
      <c r="E462" s="40">
        <v>44561</v>
      </c>
      <c r="F462" s="41">
        <v>3798.3870000000002</v>
      </c>
      <c r="G462" s="42">
        <v>10</v>
      </c>
      <c r="H462" s="43">
        <f t="shared" si="90"/>
        <v>379.83870000000002</v>
      </c>
      <c r="I462" s="41"/>
      <c r="J462" s="41"/>
      <c r="K462" s="41"/>
      <c r="L462" s="41"/>
      <c r="M462" s="41">
        <v>-806.28300000000002</v>
      </c>
      <c r="N462" s="43">
        <f t="shared" si="91"/>
        <v>0</v>
      </c>
      <c r="O462" s="41">
        <v>-806.28300000000002</v>
      </c>
      <c r="P462" s="44">
        <f>10+10</f>
        <v>20</v>
      </c>
      <c r="Q462" s="44">
        <v>0</v>
      </c>
      <c r="R462" s="45">
        <f t="shared" si="92"/>
        <v>20</v>
      </c>
      <c r="S462" s="46"/>
    </row>
    <row r="463" spans="2:19" ht="15.75" x14ac:dyDescent="0.25">
      <c r="B463" s="38">
        <f t="shared" si="93"/>
        <v>9</v>
      </c>
      <c r="C463" s="38" t="s">
        <v>703</v>
      </c>
      <c r="D463" s="39" t="s">
        <v>704</v>
      </c>
      <c r="E463" s="40">
        <v>44377</v>
      </c>
      <c r="F463" s="41">
        <v>3673.4690000000001</v>
      </c>
      <c r="G463" s="42">
        <v>10</v>
      </c>
      <c r="H463" s="43">
        <f t="shared" si="90"/>
        <v>367.34690000000001</v>
      </c>
      <c r="I463" s="41">
        <v>21475.23</v>
      </c>
      <c r="J463" s="41">
        <v>33095.472999999998</v>
      </c>
      <c r="K463" s="41">
        <v>11643.346</v>
      </c>
      <c r="L463" s="41">
        <v>984.41800000000001</v>
      </c>
      <c r="M463" s="41">
        <v>2509.29</v>
      </c>
      <c r="N463" s="43">
        <f t="shared" si="91"/>
        <v>0</v>
      </c>
      <c r="O463" s="41">
        <v>2509.29</v>
      </c>
      <c r="P463" s="44">
        <v>0</v>
      </c>
      <c r="Q463" s="44">
        <v>0</v>
      </c>
      <c r="R463" s="45">
        <f t="shared" si="92"/>
        <v>0</v>
      </c>
      <c r="S463" s="46">
        <v>3420</v>
      </c>
    </row>
    <row r="464" spans="2:19" ht="15.75" x14ac:dyDescent="0.25">
      <c r="B464" s="38">
        <f t="shared" si="93"/>
        <v>10</v>
      </c>
      <c r="C464" s="38" t="s">
        <v>705</v>
      </c>
      <c r="D464" s="39" t="s">
        <v>706</v>
      </c>
      <c r="E464" s="40">
        <v>44377</v>
      </c>
      <c r="F464" s="41">
        <v>3540.8850000000002</v>
      </c>
      <c r="G464" s="42">
        <v>10</v>
      </c>
      <c r="H464" s="43">
        <f t="shared" si="90"/>
        <v>354.08850000000001</v>
      </c>
      <c r="I464" s="41">
        <v>26010.263999999999</v>
      </c>
      <c r="J464" s="41">
        <v>30786.057000000001</v>
      </c>
      <c r="K464" s="41">
        <v>11432.571</v>
      </c>
      <c r="L464" s="41">
        <v>339.2</v>
      </c>
      <c r="M464" s="41">
        <v>2681.134</v>
      </c>
      <c r="N464" s="43">
        <f t="shared" si="91"/>
        <v>0</v>
      </c>
      <c r="O464" s="41">
        <v>2681.134</v>
      </c>
      <c r="P464" s="44">
        <v>15</v>
      </c>
      <c r="Q464" s="44">
        <v>0</v>
      </c>
      <c r="R464" s="45">
        <f t="shared" si="92"/>
        <v>15</v>
      </c>
      <c r="S464" s="46">
        <v>3701</v>
      </c>
    </row>
    <row r="465" spans="2:19" ht="15.75" x14ac:dyDescent="0.25">
      <c r="B465" s="38">
        <f t="shared" si="93"/>
        <v>11</v>
      </c>
      <c r="C465" s="38" t="s">
        <v>707</v>
      </c>
      <c r="D465" s="39" t="s">
        <v>708</v>
      </c>
      <c r="E465" s="40">
        <v>44561</v>
      </c>
      <c r="F465" s="41">
        <v>3720.8150000000001</v>
      </c>
      <c r="G465" s="42">
        <v>10</v>
      </c>
      <c r="H465" s="43">
        <f t="shared" si="90"/>
        <v>372.08150000000001</v>
      </c>
      <c r="I465" s="41"/>
      <c r="J465" s="41"/>
      <c r="K465" s="41"/>
      <c r="L465" s="41"/>
      <c r="M465" s="41">
        <v>1049.3440000000001</v>
      </c>
      <c r="N465" s="43">
        <f t="shared" si="91"/>
        <v>0</v>
      </c>
      <c r="O465" s="41">
        <v>1049.3440000000001</v>
      </c>
      <c r="P465" s="44">
        <f>10+10</f>
        <v>20</v>
      </c>
      <c r="Q465" s="44">
        <v>0</v>
      </c>
      <c r="R465" s="45">
        <f t="shared" si="92"/>
        <v>20</v>
      </c>
      <c r="S465" s="46"/>
    </row>
    <row r="466" spans="2:19" ht="15.75" x14ac:dyDescent="0.25">
      <c r="B466" s="38">
        <f t="shared" si="93"/>
        <v>12</v>
      </c>
      <c r="C466" s="38" t="s">
        <v>709</v>
      </c>
      <c r="D466" s="39" t="s">
        <v>710</v>
      </c>
      <c r="E466" s="40">
        <v>44377</v>
      </c>
      <c r="F466" s="41">
        <v>190.92</v>
      </c>
      <c r="G466" s="42">
        <v>10</v>
      </c>
      <c r="H466" s="43">
        <f t="shared" si="90"/>
        <v>19.091999999999999</v>
      </c>
      <c r="I466" s="41">
        <v>1387.9448540000001</v>
      </c>
      <c r="J466" s="41">
        <v>3345.575515</v>
      </c>
      <c r="K466" s="41">
        <v>512.63451199999997</v>
      </c>
      <c r="L466" s="41">
        <v>106.50496200000001</v>
      </c>
      <c r="M466" s="41">
        <v>-147.49531099999999</v>
      </c>
      <c r="N466" s="43">
        <f t="shared" si="91"/>
        <v>1.9883860000000197</v>
      </c>
      <c r="O466" s="41">
        <v>-149.48369700000001</v>
      </c>
      <c r="P466" s="44">
        <v>0</v>
      </c>
      <c r="Q466" s="44">
        <v>0</v>
      </c>
      <c r="R466" s="45">
        <f t="shared" si="92"/>
        <v>0</v>
      </c>
      <c r="S466" s="46">
        <v>1181</v>
      </c>
    </row>
    <row r="467" spans="2:19" ht="15.75" x14ac:dyDescent="0.25">
      <c r="B467" s="38">
        <f t="shared" si="93"/>
        <v>13</v>
      </c>
      <c r="C467" s="38" t="s">
        <v>711</v>
      </c>
      <c r="D467" s="39" t="s">
        <v>712</v>
      </c>
      <c r="E467" s="40">
        <v>44377</v>
      </c>
      <c r="F467" s="41">
        <v>178.33199999999999</v>
      </c>
      <c r="G467" s="42">
        <v>10</v>
      </c>
      <c r="H467" s="43">
        <f>+F467/G467</f>
        <v>17.833199999999998</v>
      </c>
      <c r="I467" s="41"/>
      <c r="J467" s="41"/>
      <c r="K467" s="41"/>
      <c r="L467" s="41"/>
      <c r="M467" s="41">
        <v>-3.2189999999999999</v>
      </c>
      <c r="N467" s="43">
        <f>+M467-O467</f>
        <v>-0.60799999999999965</v>
      </c>
      <c r="O467" s="41">
        <v>-2.6110000000000002</v>
      </c>
      <c r="P467" s="44">
        <v>0</v>
      </c>
      <c r="Q467" s="44">
        <v>0</v>
      </c>
      <c r="R467" s="45">
        <f>SUM(P467:Q467)</f>
        <v>0</v>
      </c>
      <c r="S467" s="46"/>
    </row>
    <row r="468" spans="2:19" ht="15.75" x14ac:dyDescent="0.25">
      <c r="B468" s="38">
        <f t="shared" si="93"/>
        <v>14</v>
      </c>
      <c r="C468" s="38" t="s">
        <v>713</v>
      </c>
      <c r="D468" s="39" t="s">
        <v>714</v>
      </c>
      <c r="E468" s="40">
        <v>44561</v>
      </c>
      <c r="F468" s="41">
        <v>3864.7170000000001</v>
      </c>
      <c r="G468" s="42">
        <v>10</v>
      </c>
      <c r="H468" s="43">
        <f t="shared" si="90"/>
        <v>386.4717</v>
      </c>
      <c r="I468" s="41"/>
      <c r="J468" s="41"/>
      <c r="K468" s="41"/>
      <c r="L468" s="41"/>
      <c r="M468" s="41"/>
      <c r="N468" s="43">
        <f t="shared" si="91"/>
        <v>0</v>
      </c>
      <c r="O468" s="41"/>
      <c r="P468" s="44">
        <f>20+50</f>
        <v>70</v>
      </c>
      <c r="Q468" s="44"/>
      <c r="R468" s="45">
        <f t="shared" si="92"/>
        <v>70</v>
      </c>
      <c r="S468" s="46"/>
    </row>
    <row r="469" spans="2:19" ht="15.75" x14ac:dyDescent="0.25">
      <c r="B469" s="38">
        <f t="shared" si="93"/>
        <v>15</v>
      </c>
      <c r="C469" s="38" t="s">
        <v>715</v>
      </c>
      <c r="D469" s="39" t="s">
        <v>716</v>
      </c>
      <c r="E469" s="40">
        <v>44377</v>
      </c>
      <c r="F469" s="41">
        <v>150</v>
      </c>
      <c r="G469" s="42">
        <v>10</v>
      </c>
      <c r="H469" s="43">
        <f t="shared" si="90"/>
        <v>15</v>
      </c>
      <c r="I469" s="41">
        <v>183.68738300000001</v>
      </c>
      <c r="J469" s="41">
        <v>190.80147700000001</v>
      </c>
      <c r="K469" s="41">
        <v>14.114000000000001</v>
      </c>
      <c r="L469" s="41">
        <v>0</v>
      </c>
      <c r="M469" s="41">
        <v>5.3360019999999997</v>
      </c>
      <c r="N469" s="43">
        <f t="shared" si="91"/>
        <v>0</v>
      </c>
      <c r="O469" s="41">
        <v>5.3360019999999997</v>
      </c>
      <c r="P469" s="44">
        <v>0</v>
      </c>
      <c r="Q469" s="44">
        <v>0</v>
      </c>
      <c r="R469" s="45">
        <f t="shared" si="92"/>
        <v>0</v>
      </c>
      <c r="S469" s="46">
        <v>5305</v>
      </c>
    </row>
    <row r="470" spans="2:19" ht="15.75" x14ac:dyDescent="0.25">
      <c r="B470" s="75"/>
      <c r="C470" s="75"/>
      <c r="D470" s="48"/>
      <c r="E470" s="49"/>
      <c r="F470" s="50"/>
      <c r="G470" s="51"/>
      <c r="H470" s="52"/>
      <c r="I470" s="50"/>
      <c r="J470" s="50"/>
      <c r="K470" s="50"/>
      <c r="L470" s="50"/>
      <c r="M470" s="50"/>
      <c r="N470" s="52"/>
      <c r="O470" s="50"/>
      <c r="P470" s="53"/>
      <c r="Q470" s="53"/>
      <c r="R470" s="54"/>
      <c r="S470" s="55"/>
    </row>
    <row r="471" spans="2:19" ht="18.75" x14ac:dyDescent="0.3">
      <c r="B471" s="32"/>
      <c r="C471" s="32"/>
      <c r="D471" s="68" t="s">
        <v>41</v>
      </c>
      <c r="E471" s="33"/>
      <c r="F471" s="32"/>
      <c r="G471" s="51"/>
      <c r="H471" s="57"/>
      <c r="I471" s="35"/>
      <c r="J471" s="35"/>
      <c r="K471" s="35"/>
      <c r="L471" s="35"/>
      <c r="M471" s="35"/>
      <c r="N471" s="58"/>
      <c r="O471" s="35"/>
      <c r="P471" s="35"/>
      <c r="Q471" s="35"/>
      <c r="R471" s="58"/>
      <c r="S471" s="35"/>
    </row>
    <row r="472" spans="2:19" ht="15.75" x14ac:dyDescent="0.25">
      <c r="B472" s="38">
        <v>1</v>
      </c>
      <c r="C472" s="38" t="s">
        <v>717</v>
      </c>
      <c r="D472" s="39" t="s">
        <v>718</v>
      </c>
      <c r="E472" s="40">
        <v>44377</v>
      </c>
      <c r="F472" s="41">
        <v>80</v>
      </c>
      <c r="G472" s="42">
        <v>10</v>
      </c>
      <c r="H472" s="43">
        <f>+F472/G472</f>
        <v>8</v>
      </c>
      <c r="I472" s="41">
        <v>76.456108</v>
      </c>
      <c r="J472" s="41">
        <v>161.73591500000001</v>
      </c>
      <c r="K472" s="41">
        <v>2.9271289999999999</v>
      </c>
      <c r="L472" s="41">
        <v>9.2299999999999999E-4</v>
      </c>
      <c r="M472" s="41">
        <v>-40.356941999999997</v>
      </c>
      <c r="N472" s="43">
        <f>+M472-O472</f>
        <v>0</v>
      </c>
      <c r="O472" s="41">
        <v>-40.356941999999997</v>
      </c>
      <c r="P472" s="44">
        <v>0</v>
      </c>
      <c r="Q472" s="44">
        <v>0</v>
      </c>
      <c r="R472" s="45">
        <f>SUM(P472:Q472)</f>
        <v>0</v>
      </c>
      <c r="S472" s="46">
        <v>245</v>
      </c>
    </row>
    <row r="473" spans="2:19" ht="15.75" x14ac:dyDescent="0.25">
      <c r="B473" s="38">
        <f>+B472+1</f>
        <v>2</v>
      </c>
      <c r="C473" s="38" t="s">
        <v>719</v>
      </c>
      <c r="D473" s="39" t="s">
        <v>720</v>
      </c>
      <c r="E473" s="40">
        <v>44377</v>
      </c>
      <c r="F473" s="41"/>
      <c r="G473" s="42">
        <v>10</v>
      </c>
      <c r="H473" s="43">
        <f>+F473/G473</f>
        <v>0</v>
      </c>
      <c r="I473" s="41"/>
      <c r="J473" s="41"/>
      <c r="K473" s="41"/>
      <c r="L473" s="41"/>
      <c r="M473" s="41"/>
      <c r="N473" s="43">
        <f>+M473-O473</f>
        <v>0</v>
      </c>
      <c r="O473" s="41"/>
      <c r="P473" s="44"/>
      <c r="Q473" s="44"/>
      <c r="R473" s="45">
        <f>SUM(P473:Q473)</f>
        <v>0</v>
      </c>
      <c r="S473" s="46"/>
    </row>
    <row r="474" spans="2:19" ht="15.75" x14ac:dyDescent="0.25">
      <c r="B474" s="75"/>
      <c r="C474" s="75"/>
      <c r="D474" s="48"/>
      <c r="E474" s="49"/>
      <c r="F474" s="50"/>
      <c r="G474" s="51"/>
      <c r="H474" s="52"/>
      <c r="I474" s="50"/>
      <c r="J474" s="50"/>
      <c r="K474" s="50"/>
      <c r="L474" s="50"/>
      <c r="M474" s="50"/>
      <c r="N474" s="52"/>
      <c r="O474" s="50"/>
      <c r="P474" s="53"/>
      <c r="Q474" s="53"/>
      <c r="R474" s="54"/>
      <c r="S474" s="55"/>
    </row>
    <row r="475" spans="2:19" ht="15.75" x14ac:dyDescent="0.25">
      <c r="B475" s="38">
        <f>COUNT(B455:B474)</f>
        <v>17</v>
      </c>
      <c r="C475" s="38"/>
      <c r="D475" s="60"/>
      <c r="E475" s="40"/>
      <c r="F475" s="60">
        <f>SUM(F455:F474)</f>
        <v>146317.16600000003</v>
      </c>
      <c r="G475" s="61"/>
      <c r="H475" s="62">
        <f t="shared" ref="H475:O475" si="94">SUM(H455:H474)</f>
        <v>32581.592700000001</v>
      </c>
      <c r="I475" s="60">
        <f t="shared" si="94"/>
        <v>419731.98718300008</v>
      </c>
      <c r="J475" s="60">
        <f t="shared" si="94"/>
        <v>1257459.4853730001</v>
      </c>
      <c r="K475" s="60">
        <f t="shared" si="94"/>
        <v>448472.75896800007</v>
      </c>
      <c r="L475" s="60">
        <f t="shared" si="94"/>
        <v>22875.482193</v>
      </c>
      <c r="M475" s="60">
        <f t="shared" si="94"/>
        <v>60291.026491999997</v>
      </c>
      <c r="N475" s="63">
        <f t="shared" si="94"/>
        <v>8675.9558270000016</v>
      </c>
      <c r="O475" s="60">
        <f t="shared" si="94"/>
        <v>51615.070664999992</v>
      </c>
      <c r="P475" s="64"/>
      <c r="Q475" s="64"/>
      <c r="R475" s="65"/>
      <c r="S475" s="66">
        <f>SUM(S455:S474)</f>
        <v>94662</v>
      </c>
    </row>
    <row r="476" spans="2:19" ht="15.75" x14ac:dyDescent="0.25">
      <c r="B476" s="75"/>
      <c r="C476" s="75"/>
      <c r="D476" s="48"/>
      <c r="E476" s="49"/>
      <c r="F476" s="50"/>
      <c r="G476" s="51"/>
      <c r="H476" s="52"/>
      <c r="I476" s="50"/>
      <c r="J476" s="50"/>
      <c r="K476" s="50"/>
      <c r="L476" s="50"/>
      <c r="M476" s="50"/>
      <c r="N476" s="52"/>
      <c r="O476" s="50"/>
      <c r="P476" s="53"/>
      <c r="Q476" s="53"/>
      <c r="R476" s="54"/>
      <c r="S476" s="55"/>
    </row>
    <row r="477" spans="2:19" ht="15.75" x14ac:dyDescent="0.25">
      <c r="B477" s="75"/>
      <c r="C477" s="75"/>
      <c r="D477" s="48"/>
      <c r="E477" s="49"/>
      <c r="F477" s="50"/>
      <c r="G477" s="51"/>
      <c r="H477" s="52"/>
      <c r="I477" s="50"/>
      <c r="J477" s="50"/>
      <c r="K477" s="50"/>
      <c r="L477" s="50"/>
      <c r="M477" s="50"/>
      <c r="N477" s="52"/>
      <c r="O477" s="50"/>
      <c r="P477" s="53"/>
      <c r="Q477" s="53"/>
      <c r="R477" s="54"/>
      <c r="S477" s="55"/>
    </row>
    <row r="478" spans="2:19" ht="18.75" x14ac:dyDescent="0.3">
      <c r="B478" s="32"/>
      <c r="C478" s="37">
        <v>19</v>
      </c>
      <c r="D478" s="37" t="s">
        <v>721</v>
      </c>
      <c r="E478" s="73"/>
      <c r="F478" s="74"/>
      <c r="G478" s="51"/>
      <c r="H478" s="57"/>
      <c r="I478" s="35"/>
      <c r="J478" s="35"/>
      <c r="K478" s="35"/>
      <c r="L478" s="35"/>
      <c r="M478" s="35"/>
      <c r="N478" s="58"/>
      <c r="O478" s="35"/>
      <c r="P478" s="35"/>
      <c r="Q478" s="35"/>
      <c r="R478" s="58"/>
      <c r="S478" s="35"/>
    </row>
    <row r="479" spans="2:19" ht="15.75" x14ac:dyDescent="0.25">
      <c r="B479" s="75"/>
      <c r="C479" s="75"/>
      <c r="D479" s="48"/>
      <c r="E479" s="49"/>
      <c r="F479" s="50"/>
      <c r="G479" s="51"/>
      <c r="H479" s="52"/>
      <c r="I479" s="50"/>
      <c r="J479" s="50"/>
      <c r="K479" s="50"/>
      <c r="L479" s="50"/>
      <c r="M479" s="50"/>
      <c r="N479" s="52"/>
      <c r="O479" s="50"/>
      <c r="P479" s="53"/>
      <c r="Q479" s="53"/>
      <c r="R479" s="54"/>
      <c r="S479" s="55"/>
    </row>
    <row r="480" spans="2:19" ht="15.75" x14ac:dyDescent="0.25">
      <c r="B480" s="72">
        <v>1</v>
      </c>
      <c r="C480" s="72" t="s">
        <v>722</v>
      </c>
      <c r="D480" s="39" t="s">
        <v>723</v>
      </c>
      <c r="E480" s="40">
        <v>44377</v>
      </c>
      <c r="F480" s="41">
        <v>995.32799999999997</v>
      </c>
      <c r="G480" s="42">
        <v>10</v>
      </c>
      <c r="H480" s="43">
        <f t="shared" ref="H480:H486" si="95">+F480/G480</f>
        <v>99.532799999999995</v>
      </c>
      <c r="I480" s="41">
        <v>22720.934000000001</v>
      </c>
      <c r="J480" s="41">
        <v>61897.885000000002</v>
      </c>
      <c r="K480" s="41">
        <v>188645.375</v>
      </c>
      <c r="L480" s="41">
        <v>1418.9179999999999</v>
      </c>
      <c r="M480" s="41">
        <v>6939.058</v>
      </c>
      <c r="N480" s="43">
        <f t="shared" ref="N480:N486" si="96">+M480-O480</f>
        <v>2019.4260000000004</v>
      </c>
      <c r="O480" s="41">
        <v>4919.6319999999996</v>
      </c>
      <c r="P480" s="44">
        <f>25+245</f>
        <v>270</v>
      </c>
      <c r="Q480" s="44">
        <v>0</v>
      </c>
      <c r="R480" s="45">
        <f t="shared" ref="R480:R486" si="97">SUM(P480:Q480)</f>
        <v>270</v>
      </c>
      <c r="S480" s="46">
        <v>3745</v>
      </c>
    </row>
    <row r="481" spans="2:19" ht="15.75" x14ac:dyDescent="0.25">
      <c r="B481" s="72">
        <f t="shared" ref="B481:B486" si="98">+B480+1</f>
        <v>2</v>
      </c>
      <c r="C481" s="72" t="s">
        <v>724</v>
      </c>
      <c r="D481" s="39" t="s">
        <v>725</v>
      </c>
      <c r="E481" s="40">
        <v>44377</v>
      </c>
      <c r="F481" s="41">
        <v>224.88800000000001</v>
      </c>
      <c r="G481" s="42">
        <v>10</v>
      </c>
      <c r="H481" s="43">
        <f t="shared" si="95"/>
        <v>22.488800000000001</v>
      </c>
      <c r="I481" s="41">
        <v>576.56700000000001</v>
      </c>
      <c r="J481" s="41">
        <v>1664.5429999999999</v>
      </c>
      <c r="K481" s="41">
        <v>2591.297</v>
      </c>
      <c r="L481" s="41">
        <v>26.989000000000001</v>
      </c>
      <c r="M481" s="41">
        <v>-164.12799999999999</v>
      </c>
      <c r="N481" s="43">
        <f t="shared" si="96"/>
        <v>-44.373999999999981</v>
      </c>
      <c r="O481" s="41">
        <v>-119.754</v>
      </c>
      <c r="P481" s="44">
        <v>0</v>
      </c>
      <c r="Q481" s="44">
        <v>0</v>
      </c>
      <c r="R481" s="45">
        <f t="shared" si="97"/>
        <v>0</v>
      </c>
      <c r="S481" s="46">
        <v>1230</v>
      </c>
    </row>
    <row r="482" spans="2:19" ht="15.75" x14ac:dyDescent="0.25">
      <c r="B482" s="72">
        <f t="shared" si="98"/>
        <v>3</v>
      </c>
      <c r="C482" s="72" t="s">
        <v>726</v>
      </c>
      <c r="D482" s="39" t="s">
        <v>727</v>
      </c>
      <c r="E482" s="40">
        <v>44377</v>
      </c>
      <c r="F482" s="41">
        <v>1160.04</v>
      </c>
      <c r="G482" s="42">
        <v>10</v>
      </c>
      <c r="H482" s="43">
        <f>+F482/G482</f>
        <v>116.00399999999999</v>
      </c>
      <c r="I482" s="41">
        <v>3150.4831559999998</v>
      </c>
      <c r="J482" s="41">
        <v>5586.1524909999998</v>
      </c>
      <c r="K482" s="41">
        <v>10598.209381999999</v>
      </c>
      <c r="L482" s="41">
        <v>81.147580000000005</v>
      </c>
      <c r="M482" s="41">
        <v>471.76221700000002</v>
      </c>
      <c r="N482" s="43">
        <f>+M482-O482</f>
        <v>142.53296399999999</v>
      </c>
      <c r="O482" s="41">
        <v>329.22925300000003</v>
      </c>
      <c r="P482" s="44">
        <f>20+20</f>
        <v>40</v>
      </c>
      <c r="Q482" s="44">
        <v>20</v>
      </c>
      <c r="R482" s="45">
        <f>SUM(P482:Q482)</f>
        <v>60</v>
      </c>
      <c r="S482" s="46">
        <v>4416</v>
      </c>
    </row>
    <row r="483" spans="2:19" ht="15.75" x14ac:dyDescent="0.25">
      <c r="B483" s="72">
        <f t="shared" si="98"/>
        <v>4</v>
      </c>
      <c r="C483" s="72" t="s">
        <v>728</v>
      </c>
      <c r="D483" s="39" t="s">
        <v>729</v>
      </c>
      <c r="E483" s="40">
        <v>44377</v>
      </c>
      <c r="F483" s="41">
        <v>4694.7340000000004</v>
      </c>
      <c r="G483" s="42">
        <v>10</v>
      </c>
      <c r="H483" s="43">
        <f t="shared" si="95"/>
        <v>469.47340000000003</v>
      </c>
      <c r="I483" s="41">
        <v>139978.20199999999</v>
      </c>
      <c r="J483" s="41">
        <v>379259.56400000001</v>
      </c>
      <c r="K483" s="41">
        <v>1204247.375</v>
      </c>
      <c r="L483" s="41">
        <v>10242.35</v>
      </c>
      <c r="M483" s="41">
        <v>44055.712</v>
      </c>
      <c r="N483" s="43">
        <f t="shared" si="96"/>
        <v>14916.506999999998</v>
      </c>
      <c r="O483" s="41">
        <v>29139.205000000002</v>
      </c>
      <c r="P483" s="44">
        <f>50+100</f>
        <v>150</v>
      </c>
      <c r="Q483" s="44">
        <v>0</v>
      </c>
      <c r="R483" s="45">
        <f t="shared" si="97"/>
        <v>150</v>
      </c>
      <c r="S483" s="46">
        <v>18772</v>
      </c>
    </row>
    <row r="484" spans="2:19" ht="15.75" x14ac:dyDescent="0.25">
      <c r="B484" s="72">
        <f t="shared" si="98"/>
        <v>5</v>
      </c>
      <c r="C484" s="72" t="s">
        <v>730</v>
      </c>
      <c r="D484" s="39" t="s">
        <v>731</v>
      </c>
      <c r="E484" s="40">
        <v>44561</v>
      </c>
      <c r="F484" s="41"/>
      <c r="G484" s="42">
        <v>10</v>
      </c>
      <c r="H484" s="43">
        <f t="shared" si="95"/>
        <v>0</v>
      </c>
      <c r="I484" s="41"/>
      <c r="J484" s="41"/>
      <c r="K484" s="41"/>
      <c r="L484" s="41"/>
      <c r="M484" s="41"/>
      <c r="N484" s="43">
        <f t="shared" si="96"/>
        <v>0</v>
      </c>
      <c r="O484" s="41"/>
      <c r="P484" s="44"/>
      <c r="Q484" s="44"/>
      <c r="R484" s="45">
        <f t="shared" si="97"/>
        <v>0</v>
      </c>
      <c r="S484" s="46"/>
    </row>
    <row r="485" spans="2:19" ht="15.75" x14ac:dyDescent="0.25">
      <c r="B485" s="72">
        <f t="shared" si="98"/>
        <v>6</v>
      </c>
      <c r="C485" s="38" t="s">
        <v>732</v>
      </c>
      <c r="D485" s="39" t="s">
        <v>733</v>
      </c>
      <c r="E485" s="40">
        <v>44377</v>
      </c>
      <c r="F485" s="41">
        <v>6342.1660000000002</v>
      </c>
      <c r="G485" s="42">
        <v>10</v>
      </c>
      <c r="H485" s="43">
        <f t="shared" si="95"/>
        <v>634.21659999999997</v>
      </c>
      <c r="I485" s="41"/>
      <c r="J485" s="41"/>
      <c r="K485" s="41"/>
      <c r="L485" s="41"/>
      <c r="M485" s="41"/>
      <c r="N485" s="43">
        <f t="shared" si="96"/>
        <v>0</v>
      </c>
      <c r="O485" s="41"/>
      <c r="P485" s="44">
        <f>20</f>
        <v>20</v>
      </c>
      <c r="Q485" s="44"/>
      <c r="R485" s="45">
        <f t="shared" si="97"/>
        <v>20</v>
      </c>
      <c r="S485" s="46"/>
    </row>
    <row r="486" spans="2:19" ht="15.75" x14ac:dyDescent="0.25">
      <c r="B486" s="72">
        <f t="shared" si="98"/>
        <v>7</v>
      </c>
      <c r="C486" s="72" t="s">
        <v>734</v>
      </c>
      <c r="D486" s="39" t="s">
        <v>735</v>
      </c>
      <c r="E486" s="40">
        <v>44377</v>
      </c>
      <c r="F486" s="41"/>
      <c r="G486" s="42">
        <v>10</v>
      </c>
      <c r="H486" s="43">
        <f t="shared" si="95"/>
        <v>0</v>
      </c>
      <c r="I486" s="41"/>
      <c r="J486" s="41"/>
      <c r="K486" s="41"/>
      <c r="L486" s="41"/>
      <c r="M486" s="41"/>
      <c r="N486" s="43">
        <f t="shared" si="96"/>
        <v>0</v>
      </c>
      <c r="O486" s="41"/>
      <c r="P486" s="44"/>
      <c r="Q486" s="44"/>
      <c r="R486" s="45">
        <f t="shared" si="97"/>
        <v>0</v>
      </c>
      <c r="S486" s="46"/>
    </row>
    <row r="487" spans="2:19" ht="15.75" x14ac:dyDescent="0.25">
      <c r="B487" s="75"/>
      <c r="C487" s="75"/>
      <c r="D487" s="48"/>
      <c r="E487" s="49"/>
      <c r="F487" s="50"/>
      <c r="G487" s="51"/>
      <c r="H487" s="52"/>
      <c r="I487" s="50"/>
      <c r="J487" s="50"/>
      <c r="K487" s="50"/>
      <c r="L487" s="50"/>
      <c r="M487" s="50"/>
      <c r="N487" s="52"/>
      <c r="O487" s="50"/>
      <c r="P487" s="53"/>
      <c r="Q487" s="53"/>
      <c r="R487" s="54"/>
      <c r="S487" s="55"/>
    </row>
    <row r="488" spans="2:19" ht="18.75" x14ac:dyDescent="0.3">
      <c r="B488" s="32"/>
      <c r="C488" s="32"/>
      <c r="D488" s="68" t="s">
        <v>41</v>
      </c>
      <c r="E488" s="33"/>
      <c r="F488" s="32"/>
      <c r="G488" s="51"/>
      <c r="H488" s="57"/>
      <c r="I488" s="35"/>
      <c r="J488" s="35"/>
      <c r="K488" s="35"/>
      <c r="L488" s="35"/>
      <c r="M488" s="35"/>
      <c r="N488" s="58"/>
      <c r="O488" s="35"/>
      <c r="P488" s="35"/>
      <c r="Q488" s="35"/>
      <c r="R488" s="58"/>
      <c r="S488" s="35"/>
    </row>
    <row r="489" spans="2:19" ht="15.75" x14ac:dyDescent="0.25">
      <c r="B489" s="72">
        <v>1</v>
      </c>
      <c r="C489" s="72" t="s">
        <v>736</v>
      </c>
      <c r="D489" s="39" t="s">
        <v>737</v>
      </c>
      <c r="E489" s="40">
        <v>44561</v>
      </c>
      <c r="F489" s="41"/>
      <c r="G489" s="42">
        <v>10</v>
      </c>
      <c r="H489" s="43">
        <f>+F489/G489</f>
        <v>0</v>
      </c>
      <c r="I489" s="41"/>
      <c r="J489" s="41"/>
      <c r="K489" s="41"/>
      <c r="L489" s="41"/>
      <c r="M489" s="41"/>
      <c r="N489" s="43">
        <f>+M489-O489</f>
        <v>0</v>
      </c>
      <c r="O489" s="41"/>
      <c r="P489" s="44"/>
      <c r="Q489" s="44"/>
      <c r="R489" s="45">
        <f>SUM(P489:Q489)</f>
        <v>0</v>
      </c>
      <c r="S489" s="46"/>
    </row>
    <row r="490" spans="2:19" ht="15.75" x14ac:dyDescent="0.25">
      <c r="B490" s="32"/>
      <c r="C490" s="32"/>
      <c r="D490" s="32"/>
      <c r="E490" s="33"/>
      <c r="F490" s="32"/>
      <c r="G490" s="51"/>
      <c r="H490" s="57"/>
      <c r="I490" s="35"/>
      <c r="J490" s="35"/>
      <c r="K490" s="35"/>
      <c r="L490" s="35"/>
      <c r="M490" s="35"/>
      <c r="N490" s="58"/>
      <c r="O490" s="35"/>
      <c r="P490" s="35"/>
      <c r="Q490" s="35"/>
      <c r="R490" s="58"/>
      <c r="S490" s="35"/>
    </row>
    <row r="491" spans="2:19" ht="15.75" x14ac:dyDescent="0.25">
      <c r="B491" s="38">
        <f>COUNT(B480:B490)</f>
        <v>8</v>
      </c>
      <c r="C491" s="38"/>
      <c r="D491" s="60"/>
      <c r="E491" s="40"/>
      <c r="F491" s="60">
        <f>SUM(F480:F490)</f>
        <v>13417.155999999999</v>
      </c>
      <c r="G491" s="61"/>
      <c r="H491" s="62">
        <f t="shared" ref="H491:O491" si="99">SUM(H480:H490)</f>
        <v>1341.7156</v>
      </c>
      <c r="I491" s="60">
        <f t="shared" si="99"/>
        <v>166426.18615599998</v>
      </c>
      <c r="J491" s="60">
        <f t="shared" si="99"/>
        <v>448408.14449099998</v>
      </c>
      <c r="K491" s="60">
        <f t="shared" si="99"/>
        <v>1406082.2563819999</v>
      </c>
      <c r="L491" s="60">
        <f t="shared" si="99"/>
        <v>11769.40458</v>
      </c>
      <c r="M491" s="60">
        <f t="shared" si="99"/>
        <v>51302.404217000003</v>
      </c>
      <c r="N491" s="63">
        <f t="shared" si="99"/>
        <v>17034.091963999999</v>
      </c>
      <c r="O491" s="60">
        <f t="shared" si="99"/>
        <v>34268.312253000004</v>
      </c>
      <c r="P491" s="64"/>
      <c r="Q491" s="64"/>
      <c r="R491" s="65"/>
      <c r="S491" s="66">
        <f>SUM(S480:S490)</f>
        <v>28163</v>
      </c>
    </row>
    <row r="492" spans="2:19" ht="15.75" x14ac:dyDescent="0.25">
      <c r="B492" s="32"/>
      <c r="C492" s="32"/>
      <c r="D492" s="32"/>
      <c r="E492" s="33"/>
      <c r="F492" s="32"/>
      <c r="G492" s="51"/>
      <c r="H492" s="57"/>
      <c r="I492" s="35"/>
      <c r="J492" s="35"/>
      <c r="K492" s="35"/>
      <c r="L492" s="35"/>
      <c r="M492" s="35"/>
      <c r="N492" s="58"/>
      <c r="O492" s="35"/>
      <c r="P492" s="35"/>
      <c r="Q492" s="35"/>
      <c r="R492" s="58"/>
      <c r="S492" s="35"/>
    </row>
    <row r="493" spans="2:19" ht="15.75" x14ac:dyDescent="0.25">
      <c r="B493" s="32"/>
      <c r="C493" s="32"/>
      <c r="D493" s="32"/>
      <c r="E493" s="33"/>
      <c r="F493" s="32"/>
      <c r="G493" s="51"/>
      <c r="H493" s="57"/>
      <c r="I493" s="35"/>
      <c r="J493" s="35"/>
      <c r="K493" s="35"/>
      <c r="L493" s="35"/>
      <c r="M493" s="35"/>
      <c r="N493" s="58"/>
      <c r="O493" s="35"/>
      <c r="P493" s="35"/>
      <c r="Q493" s="35"/>
      <c r="R493" s="58"/>
      <c r="S493" s="35"/>
    </row>
    <row r="494" spans="2:19" ht="18.75" x14ac:dyDescent="0.3">
      <c r="B494" s="32"/>
      <c r="C494" s="37">
        <v>20</v>
      </c>
      <c r="D494" s="37" t="s">
        <v>738</v>
      </c>
      <c r="E494" s="73"/>
      <c r="F494" s="74"/>
      <c r="G494" s="51"/>
      <c r="H494" s="57"/>
      <c r="I494" s="35"/>
      <c r="J494" s="35"/>
      <c r="K494" s="35"/>
      <c r="L494" s="35"/>
      <c r="M494" s="35"/>
      <c r="N494" s="58"/>
      <c r="O494" s="35"/>
      <c r="P494" s="35"/>
      <c r="Q494" s="35"/>
      <c r="R494" s="58"/>
      <c r="S494" s="35"/>
    </row>
    <row r="495" spans="2:19" ht="15.75" x14ac:dyDescent="0.25">
      <c r="B495" s="32"/>
      <c r="C495" s="32"/>
      <c r="D495" s="32"/>
      <c r="E495" s="33"/>
      <c r="F495" s="32"/>
      <c r="G495" s="51"/>
      <c r="H495" s="57"/>
      <c r="I495" s="35"/>
      <c r="J495" s="35"/>
      <c r="K495" s="35"/>
      <c r="L495" s="35"/>
      <c r="M495" s="35"/>
      <c r="N495" s="58"/>
      <c r="O495" s="35"/>
      <c r="P495" s="35"/>
      <c r="Q495" s="35"/>
      <c r="R495" s="58"/>
      <c r="S495" s="35"/>
    </row>
    <row r="496" spans="2:19" ht="15.75" x14ac:dyDescent="0.25">
      <c r="B496" s="72">
        <v>1</v>
      </c>
      <c r="C496" s="72" t="s">
        <v>739</v>
      </c>
      <c r="D496" s="39" t="s">
        <v>740</v>
      </c>
      <c r="E496" s="40">
        <v>44377</v>
      </c>
      <c r="F496" s="41">
        <v>1334.0250000000001</v>
      </c>
      <c r="G496" s="42">
        <v>10</v>
      </c>
      <c r="H496" s="43">
        <f>+F496/G496</f>
        <v>133.4025</v>
      </c>
      <c r="I496" s="41">
        <v>115533.565</v>
      </c>
      <c r="J496" s="41">
        <v>150386.133</v>
      </c>
      <c r="K496" s="41">
        <v>73018.270999999993</v>
      </c>
      <c r="L496" s="41">
        <v>1310.4760000000001</v>
      </c>
      <c r="M496" s="41">
        <v>43931.362999999998</v>
      </c>
      <c r="N496" s="43">
        <f>+M496-O496</f>
        <v>12486.453999999998</v>
      </c>
      <c r="O496" s="41">
        <v>31444.909</v>
      </c>
      <c r="P496" s="44">
        <f>60+600+750</f>
        <v>1410</v>
      </c>
      <c r="Q496" s="44">
        <v>0</v>
      </c>
      <c r="R496" s="45">
        <f>SUM(P496:Q496)</f>
        <v>1410</v>
      </c>
      <c r="S496" s="46">
        <v>2743</v>
      </c>
    </row>
    <row r="497" spans="2:19" ht="15.75" x14ac:dyDescent="0.25">
      <c r="B497" s="72">
        <f>+B496+1</f>
        <v>2</v>
      </c>
      <c r="C497" s="72" t="s">
        <v>741</v>
      </c>
      <c r="D497" s="39" t="s">
        <v>742</v>
      </c>
      <c r="E497" s="40">
        <v>44377</v>
      </c>
      <c r="F497" s="41">
        <v>43009.284</v>
      </c>
      <c r="G497" s="42">
        <v>10</v>
      </c>
      <c r="H497" s="43">
        <f>+F497/G497</f>
        <v>4300.9283999999998</v>
      </c>
      <c r="I497" s="41">
        <v>769644.04500000004</v>
      </c>
      <c r="J497" s="41">
        <v>955993.81400000001</v>
      </c>
      <c r="K497" s="41">
        <v>239103.55300000001</v>
      </c>
      <c r="L497" s="41">
        <v>2204.7739999999999</v>
      </c>
      <c r="M497" s="41">
        <v>128986.345</v>
      </c>
      <c r="N497" s="43">
        <f>+M497-O497</f>
        <v>37451.921000000002</v>
      </c>
      <c r="O497" s="41">
        <v>91534.423999999999</v>
      </c>
      <c r="P497" s="44">
        <f>20+16+18+15</f>
        <v>69</v>
      </c>
      <c r="Q497" s="44">
        <v>0</v>
      </c>
      <c r="R497" s="45">
        <f>SUM(P497:Q497)</f>
        <v>69</v>
      </c>
      <c r="S497" s="46">
        <v>29925</v>
      </c>
    </row>
    <row r="498" spans="2:19" ht="15.75" x14ac:dyDescent="0.25">
      <c r="B498" s="72">
        <f>+B497+1</f>
        <v>3</v>
      </c>
      <c r="C498" s="72" t="s">
        <v>743</v>
      </c>
      <c r="D498" s="39" t="s">
        <v>744</v>
      </c>
      <c r="E498" s="40">
        <v>44377</v>
      </c>
      <c r="F498" s="41">
        <v>2838.5509999999999</v>
      </c>
      <c r="G498" s="42">
        <v>10</v>
      </c>
      <c r="H498" s="43">
        <f>+F498/G498</f>
        <v>283.85509999999999</v>
      </c>
      <c r="I498" s="41">
        <v>39362.063000000002</v>
      </c>
      <c r="J498" s="41">
        <v>94343.752999999997</v>
      </c>
      <c r="K498" s="41">
        <v>36041.857000000004</v>
      </c>
      <c r="L498" s="41">
        <v>259.60300000000001</v>
      </c>
      <c r="M498" s="41">
        <v>20678.333999999999</v>
      </c>
      <c r="N498" s="43">
        <f>+M498-O498</f>
        <v>7296.0789999999997</v>
      </c>
      <c r="O498" s="41">
        <v>13382.254999999999</v>
      </c>
      <c r="P498" s="44">
        <f>200+300</f>
        <v>500</v>
      </c>
      <c r="Q498" s="44">
        <v>0</v>
      </c>
      <c r="R498" s="45">
        <f>SUM(P498:Q498)</f>
        <v>500</v>
      </c>
      <c r="S498" s="46">
        <v>7597</v>
      </c>
    </row>
    <row r="499" spans="2:19" ht="15.75" x14ac:dyDescent="0.25">
      <c r="B499" s="72">
        <f>+B498+1</f>
        <v>4</v>
      </c>
      <c r="C499" s="72" t="s">
        <v>745</v>
      </c>
      <c r="D499" s="39" t="s">
        <v>746</v>
      </c>
      <c r="E499" s="40">
        <v>44377</v>
      </c>
      <c r="F499" s="41">
        <v>27209.674999999999</v>
      </c>
      <c r="G499" s="42">
        <v>10</v>
      </c>
      <c r="H499" s="43">
        <f>+F499/G499</f>
        <v>2720.9674999999997</v>
      </c>
      <c r="I499" s="41">
        <v>390527.72399999999</v>
      </c>
      <c r="J499" s="41">
        <v>536883.29200000002</v>
      </c>
      <c r="K499" s="41">
        <v>148428.82399999999</v>
      </c>
      <c r="L499" s="41">
        <v>1107.0719999999999</v>
      </c>
      <c r="M499" s="41">
        <v>68581.618000000002</v>
      </c>
      <c r="N499" s="43">
        <f>+M499-O499</f>
        <v>16150.218000000001</v>
      </c>
      <c r="O499" s="41">
        <v>52431.4</v>
      </c>
      <c r="P499" s="44">
        <f>15+20</f>
        <v>35</v>
      </c>
      <c r="Q499" s="44">
        <v>0</v>
      </c>
      <c r="R499" s="45">
        <f>SUM(P499:Q499)</f>
        <v>35</v>
      </c>
      <c r="S499" s="46">
        <v>29309</v>
      </c>
    </row>
    <row r="500" spans="2:19" ht="15.75" x14ac:dyDescent="0.25">
      <c r="B500" s="32"/>
      <c r="C500" s="32"/>
      <c r="D500" s="32"/>
      <c r="E500" s="33"/>
      <c r="F500" s="32"/>
      <c r="G500" s="51"/>
      <c r="H500" s="57"/>
      <c r="I500" s="35"/>
      <c r="J500" s="35"/>
      <c r="K500" s="35"/>
      <c r="L500" s="35"/>
      <c r="M500" s="35"/>
      <c r="N500" s="58"/>
      <c r="O500" s="35"/>
      <c r="P500" s="35"/>
      <c r="Q500" s="35"/>
      <c r="R500" s="58"/>
      <c r="S500" s="35"/>
    </row>
    <row r="501" spans="2:19" ht="15.75" x14ac:dyDescent="0.25">
      <c r="B501" s="38">
        <f>COUNT(B496:B500)</f>
        <v>4</v>
      </c>
      <c r="C501" s="38"/>
      <c r="D501" s="60"/>
      <c r="E501" s="40"/>
      <c r="F501" s="60">
        <f>SUM(F496:F500)</f>
        <v>74391.535000000003</v>
      </c>
      <c r="G501" s="61"/>
      <c r="H501" s="62">
        <f t="shared" ref="H501:O501" si="100">SUM(H496:H500)</f>
        <v>7439.1534999999994</v>
      </c>
      <c r="I501" s="60">
        <f t="shared" si="100"/>
        <v>1315067.3970000001</v>
      </c>
      <c r="J501" s="60">
        <f t="shared" si="100"/>
        <v>1737606.9920000001</v>
      </c>
      <c r="K501" s="60">
        <f t="shared" si="100"/>
        <v>496592.505</v>
      </c>
      <c r="L501" s="60">
        <f t="shared" si="100"/>
        <v>4881.9250000000002</v>
      </c>
      <c r="M501" s="60">
        <f t="shared" si="100"/>
        <v>262177.65999999997</v>
      </c>
      <c r="N501" s="63">
        <f t="shared" si="100"/>
        <v>73384.671999999991</v>
      </c>
      <c r="O501" s="60">
        <f t="shared" si="100"/>
        <v>188792.98799999998</v>
      </c>
      <c r="P501" s="64"/>
      <c r="Q501" s="64"/>
      <c r="R501" s="65"/>
      <c r="S501" s="66">
        <f>SUM(S496:S500)</f>
        <v>69574</v>
      </c>
    </row>
    <row r="502" spans="2:19" ht="15.75" x14ac:dyDescent="0.25">
      <c r="B502" s="32"/>
      <c r="C502" s="32"/>
      <c r="D502" s="32"/>
      <c r="E502" s="33"/>
      <c r="F502" s="32"/>
      <c r="G502" s="51"/>
      <c r="H502" s="57"/>
      <c r="I502" s="35"/>
      <c r="J502" s="35"/>
      <c r="K502" s="35"/>
      <c r="L502" s="35"/>
      <c r="M502" s="35"/>
      <c r="N502" s="58"/>
      <c r="O502" s="35"/>
      <c r="P502" s="35"/>
      <c r="Q502" s="35"/>
      <c r="R502" s="58"/>
      <c r="S502" s="35"/>
    </row>
    <row r="503" spans="2:19" ht="15.75" x14ac:dyDescent="0.25">
      <c r="B503" s="32"/>
      <c r="C503" s="32"/>
      <c r="D503" s="32"/>
      <c r="E503" s="33"/>
      <c r="F503" s="32"/>
      <c r="G503" s="51"/>
      <c r="H503" s="57"/>
      <c r="I503" s="35"/>
      <c r="J503" s="35"/>
      <c r="K503" s="35"/>
      <c r="L503" s="35"/>
      <c r="M503" s="35"/>
      <c r="N503" s="58"/>
      <c r="O503" s="35"/>
      <c r="P503" s="35"/>
      <c r="Q503" s="35"/>
      <c r="R503" s="58"/>
      <c r="S503" s="35"/>
    </row>
    <row r="504" spans="2:19" ht="18.75" x14ac:dyDescent="0.3">
      <c r="B504" s="32"/>
      <c r="C504" s="37">
        <v>21</v>
      </c>
      <c r="D504" s="37" t="s">
        <v>747</v>
      </c>
      <c r="E504" s="73"/>
      <c r="F504" s="74"/>
      <c r="G504" s="51"/>
      <c r="H504" s="57"/>
      <c r="I504" s="35"/>
      <c r="J504" s="35"/>
      <c r="K504" s="35"/>
      <c r="L504" s="35"/>
      <c r="M504" s="35"/>
      <c r="N504" s="58"/>
      <c r="O504" s="35"/>
      <c r="P504" s="35"/>
      <c r="Q504" s="35"/>
      <c r="R504" s="58"/>
      <c r="S504" s="35"/>
    </row>
    <row r="505" spans="2:19" ht="15.75" x14ac:dyDescent="0.25">
      <c r="B505" s="32"/>
      <c r="C505" s="32"/>
      <c r="D505" s="32"/>
      <c r="E505" s="33"/>
      <c r="F505" s="32"/>
      <c r="G505" s="51"/>
      <c r="H505" s="57"/>
      <c r="I505" s="35"/>
      <c r="J505" s="35"/>
      <c r="K505" s="35"/>
      <c r="L505" s="35"/>
      <c r="M505" s="35"/>
      <c r="N505" s="58"/>
      <c r="O505" s="35"/>
      <c r="P505" s="35"/>
      <c r="Q505" s="35"/>
      <c r="R505" s="58"/>
      <c r="S505" s="35"/>
    </row>
    <row r="506" spans="2:19" ht="15.75" x14ac:dyDescent="0.25">
      <c r="B506" s="38">
        <v>1</v>
      </c>
      <c r="C506" s="38" t="s">
        <v>748</v>
      </c>
      <c r="D506" s="39" t="s">
        <v>749</v>
      </c>
      <c r="E506" s="40">
        <v>44377</v>
      </c>
      <c r="F506" s="41">
        <v>65.825999999999993</v>
      </c>
      <c r="G506" s="42">
        <v>10</v>
      </c>
      <c r="H506" s="43">
        <f t="shared" ref="H506:H519" si="101">+F506/G506</f>
        <v>6.5825999999999993</v>
      </c>
      <c r="I506" s="41">
        <v>1.434053</v>
      </c>
      <c r="J506" s="41">
        <v>196.305072</v>
      </c>
      <c r="K506" s="41">
        <v>21.820969999999999</v>
      </c>
      <c r="L506" s="41">
        <v>1.883275</v>
      </c>
      <c r="M506" s="41">
        <v>-15.243369</v>
      </c>
      <c r="N506" s="43">
        <f t="shared" ref="N506:N519" si="102">+M506-O506</f>
        <v>2.0380240000000018</v>
      </c>
      <c r="O506" s="41">
        <v>-17.281393000000001</v>
      </c>
      <c r="P506" s="44">
        <v>0</v>
      </c>
      <c r="Q506" s="44">
        <v>0</v>
      </c>
      <c r="R506" s="45">
        <f t="shared" ref="R506:R519" si="103">SUM(P506:Q506)</f>
        <v>0</v>
      </c>
      <c r="S506" s="46">
        <v>946</v>
      </c>
    </row>
    <row r="507" spans="2:19" ht="15.75" x14ac:dyDescent="0.25">
      <c r="B507" s="38">
        <f>+B506+1</f>
        <v>2</v>
      </c>
      <c r="C507" s="38" t="s">
        <v>750</v>
      </c>
      <c r="D507" s="39" t="s">
        <v>751</v>
      </c>
      <c r="E507" s="40">
        <v>44377</v>
      </c>
      <c r="F507" s="41">
        <v>5760.7529999999997</v>
      </c>
      <c r="G507" s="42">
        <v>10</v>
      </c>
      <c r="H507" s="43">
        <f t="shared" si="101"/>
        <v>576.07529999999997</v>
      </c>
      <c r="I507" s="41">
        <v>13810.784</v>
      </c>
      <c r="J507" s="41">
        <v>35410.714999999997</v>
      </c>
      <c r="K507" s="41">
        <v>19858.242999999999</v>
      </c>
      <c r="L507" s="41">
        <v>1408.98</v>
      </c>
      <c r="M507" s="41">
        <v>2553.3910000000001</v>
      </c>
      <c r="N507" s="43">
        <f t="shared" si="102"/>
        <v>517.39400000000001</v>
      </c>
      <c r="O507" s="41">
        <v>2035.9970000000001</v>
      </c>
      <c r="P507" s="44">
        <v>0</v>
      </c>
      <c r="Q507" s="44">
        <v>5</v>
      </c>
      <c r="R507" s="45">
        <f t="shared" ref="R507" si="104">SUM(P507:Q507)</f>
        <v>5</v>
      </c>
      <c r="S507" s="46">
        <v>5319</v>
      </c>
    </row>
    <row r="508" spans="2:19" ht="15.75" x14ac:dyDescent="0.25">
      <c r="B508" s="38">
        <f>+B507+1</f>
        <v>3</v>
      </c>
      <c r="C508" s="38" t="s">
        <v>752</v>
      </c>
      <c r="D508" s="39" t="s">
        <v>753</v>
      </c>
      <c r="E508" s="40">
        <v>44377</v>
      </c>
      <c r="F508" s="41">
        <v>7716.8429999999998</v>
      </c>
      <c r="G508" s="42">
        <v>10</v>
      </c>
      <c r="H508" s="43">
        <f t="shared" si="101"/>
        <v>771.68430000000001</v>
      </c>
      <c r="I508" s="41">
        <v>14466.584000000001</v>
      </c>
      <c r="J508" s="41">
        <v>36523.517</v>
      </c>
      <c r="K508" s="41">
        <v>55116.370999999999</v>
      </c>
      <c r="L508" s="41">
        <v>499.36799999999999</v>
      </c>
      <c r="M508" s="41">
        <v>8587.848</v>
      </c>
      <c r="N508" s="43">
        <f t="shared" si="102"/>
        <v>2219.5</v>
      </c>
      <c r="O508" s="41">
        <v>6368.348</v>
      </c>
      <c r="P508" s="44">
        <v>20</v>
      </c>
      <c r="Q508" s="44">
        <v>0</v>
      </c>
      <c r="R508" s="45">
        <f t="shared" si="103"/>
        <v>20</v>
      </c>
      <c r="S508" s="46">
        <v>8091</v>
      </c>
    </row>
    <row r="509" spans="2:19" ht="15.75" x14ac:dyDescent="0.25">
      <c r="B509" s="38">
        <f>+B508+1</f>
        <v>4</v>
      </c>
      <c r="C509" s="38" t="s">
        <v>754</v>
      </c>
      <c r="D509" s="39" t="s">
        <v>755</v>
      </c>
      <c r="E509" s="40">
        <v>44377</v>
      </c>
      <c r="F509" s="41">
        <v>2970.114</v>
      </c>
      <c r="G509" s="42">
        <v>10</v>
      </c>
      <c r="H509" s="43">
        <f t="shared" si="101"/>
        <v>297.01139999999998</v>
      </c>
      <c r="I509" s="41">
        <v>13940.63</v>
      </c>
      <c r="J509" s="41">
        <v>36366.461000000003</v>
      </c>
      <c r="K509" s="41">
        <v>39218.453000000001</v>
      </c>
      <c r="L509" s="41">
        <v>1649.4839999999999</v>
      </c>
      <c r="M509" s="41">
        <v>1383.951</v>
      </c>
      <c r="N509" s="43">
        <f t="shared" si="102"/>
        <v>15.692000000000007</v>
      </c>
      <c r="O509" s="41">
        <v>1368.259</v>
      </c>
      <c r="P509" s="44">
        <v>0</v>
      </c>
      <c r="Q509" s="44">
        <v>0</v>
      </c>
      <c r="R509" s="45">
        <f t="shared" si="103"/>
        <v>0</v>
      </c>
      <c r="S509" s="46">
        <v>11712</v>
      </c>
    </row>
    <row r="510" spans="2:19" ht="15.75" x14ac:dyDescent="0.25">
      <c r="B510" s="38">
        <f t="shared" ref="B510:B519" si="105">+B509+1</f>
        <v>5</v>
      </c>
      <c r="C510" s="72" t="s">
        <v>756</v>
      </c>
      <c r="D510" s="39" t="s">
        <v>757</v>
      </c>
      <c r="E510" s="40">
        <v>44377</v>
      </c>
      <c r="F510" s="41">
        <v>250</v>
      </c>
      <c r="G510" s="42">
        <v>10</v>
      </c>
      <c r="H510" s="43">
        <f>+F510/G510</f>
        <v>25</v>
      </c>
      <c r="I510" s="41">
        <v>-4.5871589999999998</v>
      </c>
      <c r="J510" s="41">
        <v>4.6059239999999999</v>
      </c>
      <c r="K510" s="41">
        <v>230.77019000000001</v>
      </c>
      <c r="L510" s="41">
        <v>0.29308000000000001</v>
      </c>
      <c r="M510" s="41">
        <v>6.2808140000000003</v>
      </c>
      <c r="N510" s="43">
        <f>+M510-O510</f>
        <v>3.9574230000000004</v>
      </c>
      <c r="O510" s="41">
        <v>2.323391</v>
      </c>
      <c r="P510" s="44">
        <v>0</v>
      </c>
      <c r="Q510" s="44">
        <v>0</v>
      </c>
      <c r="R510" s="45">
        <f>SUM(P510:Q510)</f>
        <v>0</v>
      </c>
      <c r="S510" s="46">
        <v>790</v>
      </c>
    </row>
    <row r="511" spans="2:19" ht="15.75" x14ac:dyDescent="0.25">
      <c r="B511" s="38">
        <f t="shared" si="105"/>
        <v>6</v>
      </c>
      <c r="C511" s="38" t="s">
        <v>758</v>
      </c>
      <c r="D511" s="39" t="s">
        <v>759</v>
      </c>
      <c r="E511" s="40">
        <v>44377</v>
      </c>
      <c r="F511" s="41">
        <v>114.72529</v>
      </c>
      <c r="G511" s="42">
        <v>10</v>
      </c>
      <c r="H511" s="43">
        <f t="shared" si="101"/>
        <v>11.472529</v>
      </c>
      <c r="I511" s="41">
        <v>207.522638</v>
      </c>
      <c r="J511" s="41">
        <v>1011.5906680000001</v>
      </c>
      <c r="K511" s="41">
        <v>2418.8004930000002</v>
      </c>
      <c r="L511" s="41">
        <v>52.821672999999997</v>
      </c>
      <c r="M511" s="41">
        <v>171.09209899999999</v>
      </c>
      <c r="N511" s="43">
        <f t="shared" si="102"/>
        <v>38.711670999999996</v>
      </c>
      <c r="O511" s="41">
        <v>132.38042799999999</v>
      </c>
      <c r="P511" s="44">
        <v>0</v>
      </c>
      <c r="Q511" s="44">
        <v>0</v>
      </c>
      <c r="R511" s="45">
        <f t="shared" si="103"/>
        <v>0</v>
      </c>
      <c r="S511" s="46">
        <v>1157</v>
      </c>
    </row>
    <row r="512" spans="2:19" ht="15.75" x14ac:dyDescent="0.25">
      <c r="B512" s="38">
        <f t="shared" si="105"/>
        <v>7</v>
      </c>
      <c r="C512" s="38" t="s">
        <v>760</v>
      </c>
      <c r="D512" s="39" t="s">
        <v>761</v>
      </c>
      <c r="E512" s="40">
        <v>44377</v>
      </c>
      <c r="F512" s="41">
        <v>776.32500000000005</v>
      </c>
      <c r="G512" s="42">
        <v>10</v>
      </c>
      <c r="H512" s="43">
        <f t="shared" si="101"/>
        <v>77.632500000000007</v>
      </c>
      <c r="I512" s="41">
        <v>5970.8239999999996</v>
      </c>
      <c r="J512" s="41">
        <v>8705.5640000000003</v>
      </c>
      <c r="K512" s="41">
        <v>7259.2560000000003</v>
      </c>
      <c r="L512" s="41">
        <v>210.78100000000001</v>
      </c>
      <c r="M512" s="41">
        <v>426.54199999999997</v>
      </c>
      <c r="N512" s="43">
        <f t="shared" si="102"/>
        <v>74.68199999999996</v>
      </c>
      <c r="O512" s="41">
        <v>351.86</v>
      </c>
      <c r="P512" s="44">
        <v>0</v>
      </c>
      <c r="Q512" s="44">
        <v>0</v>
      </c>
      <c r="R512" s="45">
        <f t="shared" si="103"/>
        <v>0</v>
      </c>
      <c r="S512" s="46">
        <v>3036</v>
      </c>
    </row>
    <row r="513" spans="2:19" ht="15.75" x14ac:dyDescent="0.25">
      <c r="B513" s="38">
        <f t="shared" si="105"/>
        <v>8</v>
      </c>
      <c r="C513" s="38" t="s">
        <v>762</v>
      </c>
      <c r="D513" s="39" t="s">
        <v>763</v>
      </c>
      <c r="E513" s="40">
        <v>44377</v>
      </c>
      <c r="F513" s="41">
        <v>107.64</v>
      </c>
      <c r="G513" s="42">
        <v>10</v>
      </c>
      <c r="H513" s="43">
        <f t="shared" si="101"/>
        <v>10.763999999999999</v>
      </c>
      <c r="I513" s="41">
        <v>884.04100000000005</v>
      </c>
      <c r="J513" s="41">
        <v>3119.3159999999998</v>
      </c>
      <c r="K513" s="41">
        <v>2444.5390000000002</v>
      </c>
      <c r="L513" s="41">
        <v>155.76300000000001</v>
      </c>
      <c r="M513" s="41">
        <v>-3.7549999999999999</v>
      </c>
      <c r="N513" s="43">
        <f t="shared" si="102"/>
        <v>35.253999999999998</v>
      </c>
      <c r="O513" s="41">
        <v>-39.009</v>
      </c>
      <c r="P513" s="44">
        <v>0</v>
      </c>
      <c r="Q513" s="44">
        <v>0</v>
      </c>
      <c r="R513" s="45">
        <f t="shared" si="103"/>
        <v>0</v>
      </c>
      <c r="S513" s="46">
        <v>3663</v>
      </c>
    </row>
    <row r="514" spans="2:19" ht="15.75" x14ac:dyDescent="0.25">
      <c r="B514" s="38">
        <f t="shared" si="105"/>
        <v>9</v>
      </c>
      <c r="C514" s="38" t="s">
        <v>764</v>
      </c>
      <c r="D514" s="39" t="s">
        <v>765</v>
      </c>
      <c r="E514" s="40">
        <v>44377</v>
      </c>
      <c r="F514" s="41">
        <v>1318.819</v>
      </c>
      <c r="G514" s="42">
        <v>10</v>
      </c>
      <c r="H514" s="43">
        <f t="shared" si="101"/>
        <v>131.8819</v>
      </c>
      <c r="I514" s="41">
        <v>11498.522999999999</v>
      </c>
      <c r="J514" s="41">
        <v>28791.46</v>
      </c>
      <c r="K514" s="41">
        <v>28940.096000000001</v>
      </c>
      <c r="L514" s="41">
        <v>755.71500000000003</v>
      </c>
      <c r="M514" s="41">
        <v>2258.826</v>
      </c>
      <c r="N514" s="43">
        <f t="shared" si="102"/>
        <v>-55.735999999999876</v>
      </c>
      <c r="O514" s="41">
        <v>2314.5619999999999</v>
      </c>
      <c r="P514" s="44">
        <f>35+65</f>
        <v>100</v>
      </c>
      <c r="Q514" s="44">
        <v>0</v>
      </c>
      <c r="R514" s="45">
        <f t="shared" si="103"/>
        <v>100</v>
      </c>
      <c r="S514" s="46">
        <v>4800</v>
      </c>
    </row>
    <row r="515" spans="2:19" ht="15.75" x14ac:dyDescent="0.25">
      <c r="B515" s="38">
        <f t="shared" si="105"/>
        <v>10</v>
      </c>
      <c r="C515" s="38" t="s">
        <v>766</v>
      </c>
      <c r="D515" s="39" t="s">
        <v>767</v>
      </c>
      <c r="E515" s="40">
        <v>44377</v>
      </c>
      <c r="F515" s="41">
        <v>4350</v>
      </c>
      <c r="G515" s="42">
        <v>10</v>
      </c>
      <c r="H515" s="43">
        <f t="shared" si="101"/>
        <v>435</v>
      </c>
      <c r="I515" s="41">
        <v>18887.64</v>
      </c>
      <c r="J515" s="41">
        <v>41719.542999999998</v>
      </c>
      <c r="K515" s="41">
        <v>69796.240000000005</v>
      </c>
      <c r="L515" s="41">
        <v>811.93100000000004</v>
      </c>
      <c r="M515" s="41">
        <v>10294.601000000001</v>
      </c>
      <c r="N515" s="43">
        <f t="shared" si="102"/>
        <v>2828.2700000000004</v>
      </c>
      <c r="O515" s="41">
        <v>7466.3310000000001</v>
      </c>
      <c r="P515" s="44">
        <f>30+70</f>
        <v>100</v>
      </c>
      <c r="Q515" s="44">
        <v>0</v>
      </c>
      <c r="R515" s="45">
        <f t="shared" si="103"/>
        <v>100</v>
      </c>
      <c r="S515" s="46">
        <v>5767</v>
      </c>
    </row>
    <row r="516" spans="2:19" ht="15.75" x14ac:dyDescent="0.25">
      <c r="B516" s="38">
        <f t="shared" si="105"/>
        <v>11</v>
      </c>
      <c r="C516" s="38" t="s">
        <v>768</v>
      </c>
      <c r="D516" s="39" t="s">
        <v>769</v>
      </c>
      <c r="E516" s="40">
        <v>44377</v>
      </c>
      <c r="F516" s="41">
        <v>1443.43364</v>
      </c>
      <c r="G516" s="42">
        <v>10</v>
      </c>
      <c r="H516" s="43">
        <f t="shared" si="101"/>
        <v>144.34336400000001</v>
      </c>
      <c r="I516" s="41">
        <v>4441.3582020000003</v>
      </c>
      <c r="J516" s="41">
        <v>7455.0579879999996</v>
      </c>
      <c r="K516" s="41">
        <v>6200.91507</v>
      </c>
      <c r="L516" s="41">
        <v>35.442492000000001</v>
      </c>
      <c r="M516" s="41">
        <v>439.15049299999998</v>
      </c>
      <c r="N516" s="43">
        <f t="shared" si="102"/>
        <v>172.38949299999996</v>
      </c>
      <c r="O516" s="41">
        <v>266.76100000000002</v>
      </c>
      <c r="P516" s="44">
        <v>0</v>
      </c>
      <c r="Q516" s="44">
        <v>0</v>
      </c>
      <c r="R516" s="45">
        <f t="shared" si="103"/>
        <v>0</v>
      </c>
      <c r="S516" s="46">
        <v>4761</v>
      </c>
    </row>
    <row r="517" spans="2:19" ht="15.75" x14ac:dyDescent="0.25">
      <c r="B517" s="38">
        <f t="shared" si="105"/>
        <v>12</v>
      </c>
      <c r="C517" s="38" t="s">
        <v>770</v>
      </c>
      <c r="D517" s="39" t="s">
        <v>771</v>
      </c>
      <c r="E517" s="40">
        <v>44561</v>
      </c>
      <c r="F517" s="41"/>
      <c r="G517" s="42">
        <v>10</v>
      </c>
      <c r="H517" s="43">
        <f t="shared" si="101"/>
        <v>0</v>
      </c>
      <c r="I517" s="41"/>
      <c r="J517" s="41"/>
      <c r="K517" s="41"/>
      <c r="L517" s="41"/>
      <c r="M517" s="41"/>
      <c r="N517" s="43">
        <f t="shared" si="102"/>
        <v>0</v>
      </c>
      <c r="O517" s="41"/>
      <c r="P517" s="44"/>
      <c r="Q517" s="44"/>
      <c r="R517" s="45">
        <f t="shared" si="103"/>
        <v>0</v>
      </c>
      <c r="S517" s="46"/>
    </row>
    <row r="518" spans="2:19" ht="15.75" x14ac:dyDescent="0.25">
      <c r="B518" s="38">
        <f t="shared" si="105"/>
        <v>13</v>
      </c>
      <c r="C518" s="38" t="s">
        <v>772</v>
      </c>
      <c r="D518" s="39" t="s">
        <v>773</v>
      </c>
      <c r="E518" s="40">
        <v>44377</v>
      </c>
      <c r="F518" s="41">
        <v>309.77600000000001</v>
      </c>
      <c r="G518" s="42">
        <v>10</v>
      </c>
      <c r="H518" s="43">
        <f t="shared" si="101"/>
        <v>30.977600000000002</v>
      </c>
      <c r="I518" s="41">
        <v>930.96799999999996</v>
      </c>
      <c r="J518" s="41">
        <v>1021.878</v>
      </c>
      <c r="K518" s="41">
        <v>92.671000000000006</v>
      </c>
      <c r="L518" s="41">
        <v>5.7000000000000002E-2</v>
      </c>
      <c r="M518" s="41">
        <v>1.071</v>
      </c>
      <c r="N518" s="43">
        <f t="shared" si="102"/>
        <v>-0.77400000000000002</v>
      </c>
      <c r="O518" s="41">
        <v>1.845</v>
      </c>
      <c r="P518" s="44">
        <v>0</v>
      </c>
      <c r="Q518" s="44">
        <v>0</v>
      </c>
      <c r="R518" s="45">
        <f t="shared" si="103"/>
        <v>0</v>
      </c>
      <c r="S518" s="46">
        <v>3600</v>
      </c>
    </row>
    <row r="519" spans="2:19" ht="15.75" x14ac:dyDescent="0.25">
      <c r="B519" s="38">
        <f t="shared" si="105"/>
        <v>14</v>
      </c>
      <c r="C519" s="38" t="s">
        <v>774</v>
      </c>
      <c r="D519" s="39" t="s">
        <v>775</v>
      </c>
      <c r="E519" s="40">
        <v>44377</v>
      </c>
      <c r="F519" s="41">
        <v>2918.5559400000002</v>
      </c>
      <c r="G519" s="42">
        <v>10</v>
      </c>
      <c r="H519" s="43">
        <f t="shared" si="101"/>
        <v>291.855594</v>
      </c>
      <c r="I519" s="41">
        <v>16504.859579</v>
      </c>
      <c r="J519" s="41">
        <v>41799.806276000003</v>
      </c>
      <c r="K519" s="41">
        <v>44971.836150000003</v>
      </c>
      <c r="L519" s="41">
        <v>1370.2939570000001</v>
      </c>
      <c r="M519" s="41">
        <v>4161.4878120000003</v>
      </c>
      <c r="N519" s="43">
        <f t="shared" si="102"/>
        <v>732.33811600000035</v>
      </c>
      <c r="O519" s="41">
        <v>3429.1496959999999</v>
      </c>
      <c r="P519" s="44">
        <f>30</f>
        <v>30</v>
      </c>
      <c r="Q519" s="44">
        <v>15</v>
      </c>
      <c r="R519" s="45">
        <f t="shared" si="103"/>
        <v>45</v>
      </c>
      <c r="S519" s="46">
        <v>5518</v>
      </c>
    </row>
    <row r="520" spans="2:19" ht="15.75" x14ac:dyDescent="0.25">
      <c r="B520" s="32"/>
      <c r="C520" s="32"/>
      <c r="D520" s="32"/>
      <c r="E520" s="33"/>
      <c r="F520" s="32"/>
      <c r="G520" s="51"/>
      <c r="H520" s="57"/>
      <c r="I520" s="35"/>
      <c r="J520" s="35"/>
      <c r="K520" s="35"/>
      <c r="L520" s="35"/>
      <c r="M520" s="35"/>
      <c r="N520" s="58"/>
      <c r="O520" s="35"/>
      <c r="P520" s="35"/>
      <c r="Q520" s="35"/>
      <c r="R520" s="58"/>
      <c r="S520" s="35"/>
    </row>
    <row r="521" spans="2:19" ht="18.75" x14ac:dyDescent="0.3">
      <c r="B521" s="32"/>
      <c r="C521" s="32"/>
      <c r="D521" s="68" t="s">
        <v>41</v>
      </c>
      <c r="E521" s="33"/>
      <c r="F521" s="32"/>
      <c r="G521" s="51"/>
      <c r="H521" s="57"/>
      <c r="I521" s="35"/>
      <c r="J521" s="35"/>
      <c r="K521" s="35"/>
      <c r="L521" s="35"/>
      <c r="M521" s="35"/>
      <c r="N521" s="58"/>
      <c r="O521" s="35"/>
      <c r="P521" s="35"/>
      <c r="Q521" s="35"/>
      <c r="R521" s="58"/>
      <c r="S521" s="35"/>
    </row>
    <row r="522" spans="2:19" ht="15.75" x14ac:dyDescent="0.25">
      <c r="B522" s="38">
        <v>1</v>
      </c>
      <c r="C522" s="72" t="s">
        <v>776</v>
      </c>
      <c r="D522" s="39" t="s">
        <v>777</v>
      </c>
      <c r="E522" s="40">
        <v>44377</v>
      </c>
      <c r="F522" s="41">
        <v>100</v>
      </c>
      <c r="G522" s="42">
        <v>10</v>
      </c>
      <c r="H522" s="43">
        <f>+F522/G522</f>
        <v>10</v>
      </c>
      <c r="I522" s="41">
        <v>21.096433999999999</v>
      </c>
      <c r="J522" s="41">
        <v>56.159199999999998</v>
      </c>
      <c r="K522" s="41">
        <v>0</v>
      </c>
      <c r="L522" s="41">
        <v>0</v>
      </c>
      <c r="M522" s="41">
        <v>-2.4097089999999999</v>
      </c>
      <c r="N522" s="43">
        <f>+M522-O522</f>
        <v>0</v>
      </c>
      <c r="O522" s="41">
        <v>-2.4097089999999999</v>
      </c>
      <c r="P522" s="44">
        <v>0</v>
      </c>
      <c r="Q522" s="44">
        <v>0</v>
      </c>
      <c r="R522" s="45">
        <f>SUM(P522:Q522)</f>
        <v>0</v>
      </c>
      <c r="S522" s="46">
        <v>732</v>
      </c>
    </row>
    <row r="523" spans="2:19" ht="15.75" x14ac:dyDescent="0.25">
      <c r="B523" s="38">
        <f>+B522+1</f>
        <v>2</v>
      </c>
      <c r="C523" s="38" t="s">
        <v>778</v>
      </c>
      <c r="D523" s="39" t="s">
        <v>779</v>
      </c>
      <c r="E523" s="40">
        <v>44377</v>
      </c>
      <c r="F523" s="41">
        <v>3157.3386</v>
      </c>
      <c r="G523" s="42">
        <v>10</v>
      </c>
      <c r="H523" s="43">
        <f>+F523/G523</f>
        <v>315.73385999999999</v>
      </c>
      <c r="I523" s="41">
        <v>376.41882800000002</v>
      </c>
      <c r="J523" s="41">
        <v>2645.9093339999999</v>
      </c>
      <c r="K523" s="41">
        <v>7.05396</v>
      </c>
      <c r="L523" s="41">
        <v>59.898943000000003</v>
      </c>
      <c r="M523" s="41">
        <v>-174.896064</v>
      </c>
      <c r="N523" s="43">
        <f>+M523-O523</f>
        <v>0.1058089999999936</v>
      </c>
      <c r="O523" s="41">
        <v>-175.00187299999999</v>
      </c>
      <c r="P523" s="44">
        <v>0</v>
      </c>
      <c r="Q523" s="44">
        <v>0</v>
      </c>
      <c r="R523" s="45">
        <f>SUM(P523:Q523)</f>
        <v>0</v>
      </c>
      <c r="S523" s="46">
        <v>16798</v>
      </c>
    </row>
    <row r="524" spans="2:19" ht="15.75" x14ac:dyDescent="0.25">
      <c r="B524" s="38">
        <f t="shared" ref="B524:B526" si="106">+B523+1</f>
        <v>3</v>
      </c>
      <c r="C524" s="38" t="s">
        <v>780</v>
      </c>
      <c r="D524" s="39" t="s">
        <v>781</v>
      </c>
      <c r="E524" s="40">
        <v>44377</v>
      </c>
      <c r="F524" s="41"/>
      <c r="G524" s="42">
        <v>10</v>
      </c>
      <c r="H524" s="43">
        <f>+F524/G524</f>
        <v>0</v>
      </c>
      <c r="I524" s="41"/>
      <c r="J524" s="41"/>
      <c r="K524" s="41"/>
      <c r="L524" s="41"/>
      <c r="M524" s="41"/>
      <c r="N524" s="43">
        <f>+M524-O524</f>
        <v>0</v>
      </c>
      <c r="O524" s="41"/>
      <c r="P524" s="44"/>
      <c r="Q524" s="44"/>
      <c r="R524" s="45">
        <f>SUM(P524:Q524)</f>
        <v>0</v>
      </c>
      <c r="S524" s="46"/>
    </row>
    <row r="525" spans="2:19" ht="15.75" x14ac:dyDescent="0.25">
      <c r="B525" s="38">
        <f t="shared" si="106"/>
        <v>4</v>
      </c>
      <c r="C525" s="38" t="s">
        <v>782</v>
      </c>
      <c r="D525" s="39" t="s">
        <v>783</v>
      </c>
      <c r="E525" s="40">
        <v>44377</v>
      </c>
      <c r="F525" s="41"/>
      <c r="G525" s="42">
        <v>10</v>
      </c>
      <c r="H525" s="43">
        <f>+F525/G525</f>
        <v>0</v>
      </c>
      <c r="I525" s="41"/>
      <c r="J525" s="41"/>
      <c r="K525" s="41"/>
      <c r="L525" s="41"/>
      <c r="M525" s="41"/>
      <c r="N525" s="43">
        <f>+M525-O525</f>
        <v>0</v>
      </c>
      <c r="O525" s="41"/>
      <c r="P525" s="44"/>
      <c r="Q525" s="44"/>
      <c r="R525" s="45">
        <f>SUM(P525:Q525)</f>
        <v>0</v>
      </c>
      <c r="S525" s="46"/>
    </row>
    <row r="526" spans="2:19" ht="15.75" x14ac:dyDescent="0.25">
      <c r="B526" s="38">
        <f t="shared" si="106"/>
        <v>5</v>
      </c>
      <c r="C526" s="38" t="s">
        <v>784</v>
      </c>
      <c r="D526" s="39" t="s">
        <v>785</v>
      </c>
      <c r="E526" s="40">
        <v>44377</v>
      </c>
      <c r="F526" s="41"/>
      <c r="G526" s="42">
        <v>10</v>
      </c>
      <c r="H526" s="43">
        <f>+F526/G526</f>
        <v>0</v>
      </c>
      <c r="I526" s="41"/>
      <c r="J526" s="41"/>
      <c r="K526" s="41"/>
      <c r="L526" s="41"/>
      <c r="M526" s="41"/>
      <c r="N526" s="43">
        <f>+M526-O526</f>
        <v>0</v>
      </c>
      <c r="O526" s="41"/>
      <c r="P526" s="44"/>
      <c r="Q526" s="44"/>
      <c r="R526" s="45">
        <f>SUM(P526:Q526)</f>
        <v>0</v>
      </c>
      <c r="S526" s="46"/>
    </row>
    <row r="527" spans="2:19" ht="15.75" x14ac:dyDescent="0.25">
      <c r="B527" s="32"/>
      <c r="C527" s="32"/>
      <c r="D527" s="32"/>
      <c r="E527" s="33"/>
      <c r="F527" s="32"/>
      <c r="G527" s="51"/>
      <c r="H527" s="57"/>
      <c r="I527" s="35"/>
      <c r="J527" s="35"/>
      <c r="K527" s="35"/>
      <c r="L527" s="35"/>
      <c r="M527" s="35"/>
      <c r="N527" s="58"/>
      <c r="O527" s="35"/>
      <c r="P527" s="35"/>
      <c r="Q527" s="35"/>
      <c r="R527" s="58"/>
      <c r="S527" s="35"/>
    </row>
    <row r="528" spans="2:19" ht="15.75" x14ac:dyDescent="0.25">
      <c r="B528" s="38">
        <f>COUNT(B506:B527)</f>
        <v>19</v>
      </c>
      <c r="C528" s="38"/>
      <c r="D528" s="60"/>
      <c r="E528" s="40"/>
      <c r="F528" s="60">
        <f>SUM(F506:F527)</f>
        <v>31360.14947</v>
      </c>
      <c r="G528" s="61"/>
      <c r="H528" s="62">
        <f t="shared" ref="H528:O528" si="107">SUM(H506:H527)</f>
        <v>3136.0149469999997</v>
      </c>
      <c r="I528" s="60">
        <f t="shared" si="107"/>
        <v>101938.09657499999</v>
      </c>
      <c r="J528" s="60">
        <f t="shared" si="107"/>
        <v>244827.88846200003</v>
      </c>
      <c r="K528" s="60">
        <f t="shared" si="107"/>
        <v>276577.065833</v>
      </c>
      <c r="L528" s="60">
        <f t="shared" si="107"/>
        <v>7012.7124199999989</v>
      </c>
      <c r="M528" s="60">
        <f t="shared" si="107"/>
        <v>30087.937075999998</v>
      </c>
      <c r="N528" s="63">
        <f t="shared" si="107"/>
        <v>6583.8225359999988</v>
      </c>
      <c r="O528" s="60">
        <f t="shared" si="107"/>
        <v>23504.114540000002</v>
      </c>
      <c r="P528" s="64"/>
      <c r="Q528" s="64"/>
      <c r="R528" s="65"/>
      <c r="S528" s="66">
        <f>SUM(S506:S527)</f>
        <v>76690</v>
      </c>
    </row>
    <row r="529" spans="2:19" ht="15.75" x14ac:dyDescent="0.25">
      <c r="B529" s="32"/>
      <c r="C529" s="32"/>
      <c r="D529" s="32"/>
      <c r="E529" s="33"/>
      <c r="F529" s="32"/>
      <c r="G529" s="51"/>
      <c r="H529" s="57"/>
      <c r="I529" s="35"/>
      <c r="J529" s="35"/>
      <c r="K529" s="35"/>
      <c r="L529" s="35"/>
      <c r="M529" s="35"/>
      <c r="N529" s="58"/>
      <c r="O529" s="35"/>
      <c r="P529" s="35"/>
      <c r="Q529" s="35"/>
      <c r="R529" s="58"/>
      <c r="S529" s="35"/>
    </row>
    <row r="530" spans="2:19" ht="15.75" x14ac:dyDescent="0.25">
      <c r="B530" s="32"/>
      <c r="C530" s="32"/>
      <c r="D530" s="32"/>
      <c r="E530" s="33"/>
      <c r="F530" s="32"/>
      <c r="G530" s="51"/>
      <c r="H530" s="57"/>
      <c r="I530" s="35"/>
      <c r="J530" s="35"/>
      <c r="K530" s="35"/>
      <c r="L530" s="35"/>
      <c r="M530" s="35"/>
      <c r="N530" s="58"/>
      <c r="O530" s="35"/>
      <c r="P530" s="35"/>
      <c r="Q530" s="35"/>
      <c r="R530" s="58"/>
      <c r="S530" s="35"/>
    </row>
    <row r="531" spans="2:19" ht="18.75" x14ac:dyDescent="0.3">
      <c r="B531" s="32"/>
      <c r="C531" s="37">
        <v>22</v>
      </c>
      <c r="D531" s="37" t="s">
        <v>786</v>
      </c>
      <c r="E531" s="73"/>
      <c r="F531" s="74"/>
      <c r="G531" s="51"/>
      <c r="H531" s="57"/>
      <c r="I531" s="35"/>
      <c r="J531" s="35"/>
      <c r="K531" s="35"/>
      <c r="L531" s="35"/>
      <c r="M531" s="35"/>
      <c r="N531" s="58"/>
      <c r="O531" s="35"/>
      <c r="P531" s="35"/>
      <c r="Q531" s="35"/>
      <c r="R531" s="58"/>
      <c r="S531" s="35"/>
    </row>
    <row r="532" spans="2:19" ht="15.75" x14ac:dyDescent="0.25">
      <c r="B532" s="32"/>
      <c r="C532" s="32"/>
      <c r="D532" s="32"/>
      <c r="E532" s="33"/>
      <c r="F532" s="32"/>
      <c r="G532" s="51"/>
      <c r="H532" s="57"/>
      <c r="I532" s="35"/>
      <c r="J532" s="35"/>
      <c r="K532" s="35"/>
      <c r="L532" s="35"/>
      <c r="M532" s="35"/>
      <c r="N532" s="58"/>
      <c r="O532" s="35"/>
      <c r="P532" s="35"/>
      <c r="Q532" s="35"/>
      <c r="R532" s="58"/>
      <c r="S532" s="35"/>
    </row>
    <row r="533" spans="2:19" ht="15.75" x14ac:dyDescent="0.25">
      <c r="B533" s="38">
        <v>1</v>
      </c>
      <c r="C533" s="38" t="s">
        <v>787</v>
      </c>
      <c r="D533" s="39" t="s">
        <v>788</v>
      </c>
      <c r="E533" s="40">
        <v>44561</v>
      </c>
      <c r="F533" s="41"/>
      <c r="G533" s="42">
        <v>5</v>
      </c>
      <c r="H533" s="43">
        <f t="shared" ref="H533:H542" si="108">+F533/G533</f>
        <v>0</v>
      </c>
      <c r="I533" s="41"/>
      <c r="J533" s="41"/>
      <c r="K533" s="41"/>
      <c r="L533" s="41"/>
      <c r="M533" s="41"/>
      <c r="N533" s="43">
        <f t="shared" ref="N533:N542" si="109">+M533-O533</f>
        <v>0</v>
      </c>
      <c r="O533" s="41"/>
      <c r="P533" s="44"/>
      <c r="Q533" s="44"/>
      <c r="R533" s="45">
        <f t="shared" ref="R533:R542" si="110">SUM(P533:Q533)</f>
        <v>0</v>
      </c>
      <c r="S533" s="46"/>
    </row>
    <row r="534" spans="2:19" ht="15.75" x14ac:dyDescent="0.25">
      <c r="B534" s="38">
        <f>+B533+1</f>
        <v>2</v>
      </c>
      <c r="C534" s="38" t="s">
        <v>789</v>
      </c>
      <c r="D534" s="39" t="s">
        <v>790</v>
      </c>
      <c r="E534" s="40">
        <v>44286</v>
      </c>
      <c r="F534" s="41">
        <v>1240.8789999999999</v>
      </c>
      <c r="G534" s="42">
        <v>10</v>
      </c>
      <c r="H534" s="43">
        <f t="shared" si="108"/>
        <v>124.08789999999999</v>
      </c>
      <c r="I534" s="41">
        <v>18630.526999999998</v>
      </c>
      <c r="J534" s="41">
        <v>43030.487999999998</v>
      </c>
      <c r="K534" s="41">
        <v>93156.957999999999</v>
      </c>
      <c r="L534" s="41">
        <v>62.912999999999997</v>
      </c>
      <c r="M534" s="41">
        <v>5152.3990000000003</v>
      </c>
      <c r="N534" s="43">
        <f t="shared" si="109"/>
        <v>1557.6010000000006</v>
      </c>
      <c r="O534" s="41">
        <v>3594.7979999999998</v>
      </c>
      <c r="P534" s="44">
        <f>40+135</f>
        <v>175</v>
      </c>
      <c r="Q534" s="44">
        <v>0</v>
      </c>
      <c r="R534" s="45">
        <f t="shared" si="110"/>
        <v>175</v>
      </c>
      <c r="S534" s="46">
        <v>1545</v>
      </c>
    </row>
    <row r="535" spans="2:19" ht="15.75" x14ac:dyDescent="0.25">
      <c r="B535" s="38">
        <f>+B534+1</f>
        <v>3</v>
      </c>
      <c r="C535" s="38" t="s">
        <v>791</v>
      </c>
      <c r="D535" s="39" t="s">
        <v>792</v>
      </c>
      <c r="E535" s="40">
        <v>44377</v>
      </c>
      <c r="F535" s="41">
        <v>426.08800000000002</v>
      </c>
      <c r="G535" s="42">
        <v>10</v>
      </c>
      <c r="H535" s="43">
        <f t="shared" si="108"/>
        <v>42.608800000000002</v>
      </c>
      <c r="I535" s="41">
        <v>5674.951</v>
      </c>
      <c r="J535" s="41">
        <v>14904.538</v>
      </c>
      <c r="K535" s="41">
        <v>14999.493</v>
      </c>
      <c r="L535" s="41">
        <v>466.22</v>
      </c>
      <c r="M535" s="41">
        <v>738.05600000000004</v>
      </c>
      <c r="N535" s="43">
        <f t="shared" si="109"/>
        <v>133.84300000000007</v>
      </c>
      <c r="O535" s="41">
        <v>604.21299999999997</v>
      </c>
      <c r="P535" s="44">
        <v>0</v>
      </c>
      <c r="Q535" s="44">
        <v>0</v>
      </c>
      <c r="R535" s="45">
        <f t="shared" si="110"/>
        <v>0</v>
      </c>
      <c r="S535" s="46">
        <v>7641</v>
      </c>
    </row>
    <row r="536" spans="2:19" ht="15.75" x14ac:dyDescent="0.25">
      <c r="B536" s="38">
        <f t="shared" ref="B536:B542" si="111">+B535+1</f>
        <v>4</v>
      </c>
      <c r="C536" s="38" t="s">
        <v>793</v>
      </c>
      <c r="D536" s="39" t="s">
        <v>794</v>
      </c>
      <c r="E536" s="40">
        <v>44377</v>
      </c>
      <c r="F536" s="41">
        <v>570.02499999999998</v>
      </c>
      <c r="G536" s="42">
        <v>10</v>
      </c>
      <c r="H536" s="43">
        <f t="shared" si="108"/>
        <v>57.002499999999998</v>
      </c>
      <c r="I536" s="41">
        <v>6007.616</v>
      </c>
      <c r="J536" s="41">
        <v>7300.4780000000001</v>
      </c>
      <c r="K536" s="41">
        <v>3225.7269999999999</v>
      </c>
      <c r="L536" s="41">
        <v>23.347000000000001</v>
      </c>
      <c r="M536" s="41">
        <v>115.554</v>
      </c>
      <c r="N536" s="43">
        <f t="shared" si="109"/>
        <v>-15.198000000000008</v>
      </c>
      <c r="O536" s="41">
        <v>130.75200000000001</v>
      </c>
      <c r="P536" s="44">
        <v>0</v>
      </c>
      <c r="Q536" s="44">
        <v>0</v>
      </c>
      <c r="R536" s="45">
        <f t="shared" si="110"/>
        <v>0</v>
      </c>
      <c r="S536" s="46">
        <v>5733</v>
      </c>
    </row>
    <row r="537" spans="2:19" ht="15.75" x14ac:dyDescent="0.25">
      <c r="B537" s="38">
        <f t="shared" si="111"/>
        <v>5</v>
      </c>
      <c r="C537" s="38" t="s">
        <v>795</v>
      </c>
      <c r="D537" s="39" t="s">
        <v>796</v>
      </c>
      <c r="E537" s="40">
        <v>44286</v>
      </c>
      <c r="F537" s="41">
        <v>1428</v>
      </c>
      <c r="G537" s="42">
        <v>10</v>
      </c>
      <c r="H537" s="43">
        <f t="shared" si="108"/>
        <v>142.80000000000001</v>
      </c>
      <c r="I537" s="41">
        <v>18196.163</v>
      </c>
      <c r="J537" s="41">
        <v>45155.226000000002</v>
      </c>
      <c r="K537" s="41">
        <v>67362.307000000001</v>
      </c>
      <c r="L537" s="41">
        <v>116.15900000000001</v>
      </c>
      <c r="M537" s="41">
        <v>2780.627</v>
      </c>
      <c r="N537" s="43">
        <f t="shared" si="109"/>
        <v>987.42200000000003</v>
      </c>
      <c r="O537" s="41">
        <v>1793.2049999999999</v>
      </c>
      <c r="P537" s="44">
        <v>45.2</v>
      </c>
      <c r="Q537" s="44">
        <v>0</v>
      </c>
      <c r="R537" s="45">
        <f t="shared" si="110"/>
        <v>45.2</v>
      </c>
      <c r="S537" s="46">
        <v>6560</v>
      </c>
    </row>
    <row r="538" spans="2:19" ht="15.75" x14ac:dyDescent="0.25">
      <c r="B538" s="38">
        <f t="shared" si="111"/>
        <v>6</v>
      </c>
      <c r="C538" s="38" t="s">
        <v>797</v>
      </c>
      <c r="D538" s="39" t="s">
        <v>798</v>
      </c>
      <c r="E538" s="40">
        <v>44286</v>
      </c>
      <c r="F538" s="41">
        <v>248.011</v>
      </c>
      <c r="G538" s="42">
        <v>10</v>
      </c>
      <c r="H538" s="43">
        <f t="shared" si="108"/>
        <v>24.801099999999998</v>
      </c>
      <c r="I538" s="41">
        <v>4317.6090000000004</v>
      </c>
      <c r="J538" s="41">
        <v>7752.2039999999997</v>
      </c>
      <c r="K538" s="41">
        <v>9132.18</v>
      </c>
      <c r="L538" s="41">
        <v>235.12700000000001</v>
      </c>
      <c r="M538" s="41">
        <v>-164.53</v>
      </c>
      <c r="N538" s="43">
        <f t="shared" si="109"/>
        <v>123.76399999999998</v>
      </c>
      <c r="O538" s="41">
        <v>-288.29399999999998</v>
      </c>
      <c r="P538" s="44">
        <v>0</v>
      </c>
      <c r="Q538" s="44">
        <v>0</v>
      </c>
      <c r="R538" s="45">
        <f t="shared" si="110"/>
        <v>0</v>
      </c>
      <c r="S538" s="46">
        <v>1741</v>
      </c>
    </row>
    <row r="539" spans="2:19" ht="15.75" x14ac:dyDescent="0.25">
      <c r="B539" s="38">
        <f t="shared" si="111"/>
        <v>7</v>
      </c>
      <c r="C539" s="38" t="s">
        <v>799</v>
      </c>
      <c r="D539" s="39" t="s">
        <v>800</v>
      </c>
      <c r="E539" s="40">
        <v>44377</v>
      </c>
      <c r="F539" s="41">
        <v>786</v>
      </c>
      <c r="G539" s="42">
        <v>10</v>
      </c>
      <c r="H539" s="43">
        <f t="shared" si="108"/>
        <v>78.599999999999994</v>
      </c>
      <c r="I539" s="41">
        <v>48201.464999999997</v>
      </c>
      <c r="J539" s="41">
        <v>133905.81599999999</v>
      </c>
      <c r="K539" s="41">
        <v>179161.72700000001</v>
      </c>
      <c r="L539" s="41">
        <v>133.57</v>
      </c>
      <c r="M539" s="41">
        <v>18199.192999999999</v>
      </c>
      <c r="N539" s="43">
        <f t="shared" si="109"/>
        <v>5370.6009999999987</v>
      </c>
      <c r="O539" s="41">
        <v>12828.592000000001</v>
      </c>
      <c r="P539" s="44">
        <f>120+250+300+365</f>
        <v>1035</v>
      </c>
      <c r="Q539" s="44">
        <v>0</v>
      </c>
      <c r="R539" s="45">
        <f t="shared" si="110"/>
        <v>1035</v>
      </c>
      <c r="S539" s="46">
        <v>4177</v>
      </c>
    </row>
    <row r="540" spans="2:19" ht="15.75" x14ac:dyDescent="0.25">
      <c r="B540" s="38">
        <f t="shared" si="111"/>
        <v>8</v>
      </c>
      <c r="C540" s="38" t="s">
        <v>801</v>
      </c>
      <c r="D540" s="39" t="s">
        <v>802</v>
      </c>
      <c r="E540" s="40">
        <v>44377</v>
      </c>
      <c r="F540" s="41">
        <v>560.57799999999997</v>
      </c>
      <c r="G540" s="42">
        <v>10</v>
      </c>
      <c r="H540" s="43">
        <f t="shared" si="108"/>
        <v>56.0578</v>
      </c>
      <c r="I540" s="41">
        <v>9092.77</v>
      </c>
      <c r="J540" s="41">
        <v>24806.249</v>
      </c>
      <c r="K540" s="41">
        <v>43953.777999999998</v>
      </c>
      <c r="L540" s="41">
        <v>9.2639999999999993</v>
      </c>
      <c r="M540" s="41">
        <v>7879.0739999999996</v>
      </c>
      <c r="N540" s="43">
        <f t="shared" si="109"/>
        <v>2098.1469999999999</v>
      </c>
      <c r="O540" s="41">
        <v>5780.9269999999997</v>
      </c>
      <c r="P540" s="44">
        <f>500+500</f>
        <v>1000</v>
      </c>
      <c r="Q540" s="44">
        <f>12.5+20</f>
        <v>32.5</v>
      </c>
      <c r="R540" s="45">
        <f t="shared" si="110"/>
        <v>1032.5</v>
      </c>
      <c r="S540" s="46">
        <v>4802</v>
      </c>
    </row>
    <row r="541" spans="2:19" ht="15.75" x14ac:dyDescent="0.25">
      <c r="B541" s="38">
        <f t="shared" si="111"/>
        <v>9</v>
      </c>
      <c r="C541" s="38" t="s">
        <v>803</v>
      </c>
      <c r="D541" s="39" t="s">
        <v>804</v>
      </c>
      <c r="E541" s="40">
        <v>44561</v>
      </c>
      <c r="F541" s="41"/>
      <c r="G541" s="42">
        <v>10</v>
      </c>
      <c r="H541" s="43">
        <f t="shared" si="108"/>
        <v>0</v>
      </c>
      <c r="I541" s="41"/>
      <c r="J541" s="41"/>
      <c r="K541" s="41"/>
      <c r="L541" s="41"/>
      <c r="M541" s="41"/>
      <c r="N541" s="43">
        <f t="shared" si="109"/>
        <v>0</v>
      </c>
      <c r="O541" s="41"/>
      <c r="P541" s="44"/>
      <c r="Q541" s="44"/>
      <c r="R541" s="45">
        <f t="shared" si="110"/>
        <v>0</v>
      </c>
      <c r="S541" s="46"/>
    </row>
    <row r="542" spans="2:19" ht="15.75" x14ac:dyDescent="0.25">
      <c r="B542" s="38">
        <f t="shared" si="111"/>
        <v>10</v>
      </c>
      <c r="C542" s="38" t="s">
        <v>805</v>
      </c>
      <c r="D542" s="39" t="s">
        <v>806</v>
      </c>
      <c r="E542" s="40">
        <v>44377</v>
      </c>
      <c r="F542" s="41">
        <v>464.96895000000001</v>
      </c>
      <c r="G542" s="42">
        <v>10</v>
      </c>
      <c r="H542" s="43">
        <f t="shared" si="108"/>
        <v>46.496895000000002</v>
      </c>
      <c r="I542" s="41">
        <v>1839.8517750000001</v>
      </c>
      <c r="J542" s="41">
        <v>4658.2401989999998</v>
      </c>
      <c r="K542" s="41">
        <v>4033.6010080000001</v>
      </c>
      <c r="L542" s="41">
        <v>21.185607000000001</v>
      </c>
      <c r="M542" s="41">
        <v>104.480003</v>
      </c>
      <c r="N542" s="43">
        <f t="shared" si="109"/>
        <v>28.684680999999998</v>
      </c>
      <c r="O542" s="41">
        <v>75.795321999999999</v>
      </c>
      <c r="P542" s="44">
        <v>0</v>
      </c>
      <c r="Q542" s="44">
        <v>30</v>
      </c>
      <c r="R542" s="45">
        <f t="shared" si="110"/>
        <v>30</v>
      </c>
      <c r="S542" s="46">
        <v>4393</v>
      </c>
    </row>
    <row r="543" spans="2:19" ht="15.75" x14ac:dyDescent="0.25">
      <c r="B543" s="47"/>
      <c r="C543" s="47"/>
      <c r="D543" s="48"/>
      <c r="E543" s="49"/>
      <c r="F543" s="50"/>
      <c r="G543" s="51"/>
      <c r="H543" s="52"/>
      <c r="I543" s="50"/>
      <c r="J543" s="50"/>
      <c r="K543" s="50"/>
      <c r="L543" s="50"/>
      <c r="M543" s="50"/>
      <c r="N543" s="52"/>
      <c r="O543" s="50"/>
      <c r="P543" s="53"/>
      <c r="Q543" s="53"/>
      <c r="R543" s="54"/>
      <c r="S543" s="55"/>
    </row>
    <row r="544" spans="2:19" ht="18.75" x14ac:dyDescent="0.3">
      <c r="B544" s="47"/>
      <c r="C544" s="47"/>
      <c r="D544" s="68" t="s">
        <v>41</v>
      </c>
      <c r="E544" s="49"/>
      <c r="F544" s="50"/>
      <c r="G544" s="51"/>
      <c r="H544" s="52"/>
      <c r="I544" s="50"/>
      <c r="J544" s="50"/>
      <c r="K544" s="50"/>
      <c r="L544" s="50"/>
      <c r="M544" s="50"/>
      <c r="N544" s="52"/>
      <c r="O544" s="50"/>
      <c r="P544" s="53"/>
      <c r="Q544" s="53"/>
      <c r="R544" s="54"/>
      <c r="S544" s="55"/>
    </row>
    <row r="545" spans="2:19" ht="15.75" x14ac:dyDescent="0.25">
      <c r="B545" s="38">
        <v>1</v>
      </c>
      <c r="C545" s="38" t="s">
        <v>807</v>
      </c>
      <c r="D545" s="39" t="s">
        <v>808</v>
      </c>
      <c r="E545" s="40">
        <v>44377</v>
      </c>
      <c r="F545" s="41">
        <v>1387.3530000000001</v>
      </c>
      <c r="G545" s="42">
        <v>10</v>
      </c>
      <c r="H545" s="43">
        <f>+F545/G545</f>
        <v>138.7353</v>
      </c>
      <c r="I545" s="41">
        <v>-2834.4050000000002</v>
      </c>
      <c r="J545" s="41">
        <v>3024.7069999999999</v>
      </c>
      <c r="K545" s="41">
        <v>1.548</v>
      </c>
      <c r="L545" s="41">
        <v>1.0999999999999999E-2</v>
      </c>
      <c r="M545" s="41">
        <v>-189.22900000000001</v>
      </c>
      <c r="N545" s="43">
        <f>+M545-O545</f>
        <v>2.2999999999996135E-2</v>
      </c>
      <c r="O545" s="41">
        <v>-189.25200000000001</v>
      </c>
      <c r="P545" s="44">
        <v>0</v>
      </c>
      <c r="Q545" s="44">
        <v>0</v>
      </c>
      <c r="R545" s="45">
        <f>SUM(P545:Q545)</f>
        <v>0</v>
      </c>
      <c r="S545" s="46">
        <v>5150</v>
      </c>
    </row>
    <row r="546" spans="2:19" ht="15.75" x14ac:dyDescent="0.25">
      <c r="B546" s="47"/>
      <c r="C546" s="47"/>
      <c r="D546" s="48"/>
      <c r="E546" s="49"/>
      <c r="F546" s="50"/>
      <c r="G546" s="51"/>
      <c r="H546" s="52"/>
      <c r="I546" s="50"/>
      <c r="J546" s="50"/>
      <c r="K546" s="50"/>
      <c r="L546" s="50"/>
      <c r="M546" s="50"/>
      <c r="N546" s="52"/>
      <c r="O546" s="50"/>
      <c r="P546" s="53"/>
      <c r="Q546" s="53"/>
      <c r="R546" s="54"/>
      <c r="S546" s="55"/>
    </row>
    <row r="547" spans="2:19" ht="15.75" x14ac:dyDescent="0.25">
      <c r="B547" s="38">
        <f>COUNT(B533:B546)</f>
        <v>11</v>
      </c>
      <c r="C547" s="38"/>
      <c r="D547" s="60"/>
      <c r="E547" s="40"/>
      <c r="F547" s="60">
        <f>SUM(F533:F546)</f>
        <v>7111.9029500000006</v>
      </c>
      <c r="G547" s="61"/>
      <c r="H547" s="62">
        <f t="shared" ref="H547:O547" si="112">SUM(H533:H546)</f>
        <v>711.19029500000011</v>
      </c>
      <c r="I547" s="60">
        <f t="shared" si="112"/>
        <v>109126.547775</v>
      </c>
      <c r="J547" s="60">
        <f t="shared" si="112"/>
        <v>284537.946199</v>
      </c>
      <c r="K547" s="60">
        <f t="shared" si="112"/>
        <v>415027.31900800002</v>
      </c>
      <c r="L547" s="60">
        <f t="shared" si="112"/>
        <v>1067.7966069999998</v>
      </c>
      <c r="M547" s="60">
        <f t="shared" si="112"/>
        <v>34615.624002999997</v>
      </c>
      <c r="N547" s="63">
        <f t="shared" si="112"/>
        <v>10284.887681</v>
      </c>
      <c r="O547" s="60">
        <f t="shared" si="112"/>
        <v>24330.736322000001</v>
      </c>
      <c r="P547" s="64"/>
      <c r="Q547" s="64"/>
      <c r="R547" s="65"/>
      <c r="S547" s="66">
        <f>SUM(S533:S546)</f>
        <v>41742</v>
      </c>
    </row>
    <row r="548" spans="2:19" ht="15.75" x14ac:dyDescent="0.25">
      <c r="B548" s="32"/>
      <c r="C548" s="32"/>
      <c r="D548" s="32"/>
      <c r="E548" s="33"/>
      <c r="F548" s="32"/>
      <c r="G548" s="51"/>
      <c r="H548" s="57"/>
      <c r="I548" s="35"/>
      <c r="J548" s="35"/>
      <c r="K548" s="35"/>
      <c r="L548" s="35"/>
      <c r="M548" s="35"/>
      <c r="N548" s="58"/>
      <c r="O548" s="35"/>
      <c r="P548" s="35"/>
      <c r="Q548" s="35"/>
      <c r="R548" s="58"/>
      <c r="S548" s="35"/>
    </row>
    <row r="549" spans="2:19" ht="15.75" x14ac:dyDescent="0.25">
      <c r="B549" s="32"/>
      <c r="C549" s="32"/>
      <c r="D549" s="32"/>
      <c r="E549" s="33"/>
      <c r="F549" s="32"/>
      <c r="G549" s="51"/>
      <c r="H549" s="57"/>
      <c r="I549" s="35"/>
      <c r="J549" s="35"/>
      <c r="K549" s="35"/>
      <c r="L549" s="35"/>
      <c r="M549" s="35"/>
      <c r="N549" s="58"/>
      <c r="O549" s="35"/>
      <c r="P549" s="35"/>
      <c r="Q549" s="35"/>
      <c r="R549" s="58"/>
      <c r="S549" s="35"/>
    </row>
    <row r="550" spans="2:19" ht="18.75" x14ac:dyDescent="0.3">
      <c r="B550" s="32"/>
      <c r="C550" s="37">
        <v>23</v>
      </c>
      <c r="D550" s="37" t="s">
        <v>809</v>
      </c>
      <c r="E550" s="73"/>
      <c r="F550" s="74"/>
      <c r="G550" s="51"/>
      <c r="H550" s="57"/>
      <c r="I550" s="35"/>
      <c r="J550" s="35"/>
      <c r="K550" s="35"/>
      <c r="L550" s="35"/>
      <c r="M550" s="35"/>
      <c r="N550" s="58"/>
      <c r="O550" s="35"/>
      <c r="P550" s="35"/>
      <c r="Q550" s="35"/>
      <c r="R550" s="58"/>
      <c r="S550" s="35"/>
    </row>
    <row r="551" spans="2:19" ht="15.75" x14ac:dyDescent="0.25">
      <c r="B551" s="32"/>
      <c r="C551" s="32"/>
      <c r="D551" s="32"/>
      <c r="E551" s="33"/>
      <c r="F551" s="32"/>
      <c r="G551" s="51"/>
      <c r="H551" s="57"/>
      <c r="I551" s="35"/>
      <c r="J551" s="35"/>
      <c r="K551" s="35"/>
      <c r="L551" s="35"/>
      <c r="M551" s="35"/>
      <c r="N551" s="58"/>
      <c r="O551" s="35"/>
      <c r="P551" s="35"/>
      <c r="Q551" s="35"/>
      <c r="R551" s="58"/>
      <c r="S551" s="35"/>
    </row>
    <row r="552" spans="2:19" ht="15.75" x14ac:dyDescent="0.25">
      <c r="B552" s="38">
        <v>1</v>
      </c>
      <c r="C552" s="38" t="s">
        <v>810</v>
      </c>
      <c r="D552" s="39" t="s">
        <v>811</v>
      </c>
      <c r="E552" s="40">
        <v>44377</v>
      </c>
      <c r="F552" s="41">
        <v>144</v>
      </c>
      <c r="G552" s="42">
        <v>5</v>
      </c>
      <c r="H552" s="43">
        <f t="shared" ref="H552:H559" si="113">+F552/G552</f>
        <v>28.8</v>
      </c>
      <c r="I552" s="41">
        <v>4389.9979999999996</v>
      </c>
      <c r="J552" s="41">
        <v>5408.9449999999997</v>
      </c>
      <c r="K552" s="41">
        <v>6969.9809999999998</v>
      </c>
      <c r="L552" s="41">
        <v>3.13</v>
      </c>
      <c r="M552" s="41">
        <v>834.04899999999998</v>
      </c>
      <c r="N552" s="43">
        <f t="shared" ref="N552:N559" si="114">+M552-O552</f>
        <v>182.65099999999995</v>
      </c>
      <c r="O552" s="41">
        <v>651.39800000000002</v>
      </c>
      <c r="P552" s="44">
        <f>100+120</f>
        <v>220</v>
      </c>
      <c r="Q552" s="44">
        <v>0</v>
      </c>
      <c r="R552" s="45">
        <f t="shared" ref="R552:R559" si="115">SUM(P552:Q552)</f>
        <v>220</v>
      </c>
      <c r="S552" s="46">
        <v>3358</v>
      </c>
    </row>
    <row r="553" spans="2:19" ht="15.75" x14ac:dyDescent="0.25">
      <c r="B553" s="38">
        <f t="shared" ref="B553:B559" si="116">+B552+1</f>
        <v>2</v>
      </c>
      <c r="C553" s="38" t="s">
        <v>812</v>
      </c>
      <c r="D553" s="39" t="s">
        <v>813</v>
      </c>
      <c r="E553" s="40">
        <v>44377</v>
      </c>
      <c r="F553" s="41">
        <v>243.59700000000001</v>
      </c>
      <c r="G553" s="42">
        <v>10</v>
      </c>
      <c r="H553" s="43">
        <f t="shared" si="113"/>
        <v>24.3597</v>
      </c>
      <c r="I553" s="41">
        <v>5609.085</v>
      </c>
      <c r="J553" s="41">
        <v>9879.6830000000009</v>
      </c>
      <c r="K553" s="41">
        <v>19955.087</v>
      </c>
      <c r="L553" s="41">
        <v>138.416</v>
      </c>
      <c r="M553" s="41">
        <v>1195.0440000000001</v>
      </c>
      <c r="N553" s="43">
        <f t="shared" si="114"/>
        <v>299.07000000000005</v>
      </c>
      <c r="O553" s="41">
        <v>895.97400000000005</v>
      </c>
      <c r="P553" s="44">
        <f>100+40</f>
        <v>140</v>
      </c>
      <c r="Q553" s="44">
        <v>15</v>
      </c>
      <c r="R553" s="45">
        <f t="shared" si="115"/>
        <v>155</v>
      </c>
      <c r="S553" s="46">
        <v>2030</v>
      </c>
    </row>
    <row r="554" spans="2:19" ht="15.75" x14ac:dyDescent="0.25">
      <c r="B554" s="38">
        <f t="shared" si="116"/>
        <v>3</v>
      </c>
      <c r="C554" s="38" t="s">
        <v>814</v>
      </c>
      <c r="D554" s="39" t="s">
        <v>815</v>
      </c>
      <c r="E554" s="40">
        <v>44377</v>
      </c>
      <c r="F554" s="41">
        <v>133.34299999999999</v>
      </c>
      <c r="G554" s="42">
        <v>10</v>
      </c>
      <c r="H554" s="43">
        <f t="shared" si="113"/>
        <v>13.334299999999999</v>
      </c>
      <c r="I554" s="41">
        <v>1920.896</v>
      </c>
      <c r="J554" s="41">
        <v>2275.759</v>
      </c>
      <c r="K554" s="41">
        <v>1574.8219999999999</v>
      </c>
      <c r="L554" s="41">
        <v>4.2160000000000002</v>
      </c>
      <c r="M554" s="41">
        <v>141.56800000000001</v>
      </c>
      <c r="N554" s="43">
        <f t="shared" si="114"/>
        <v>40.882000000000005</v>
      </c>
      <c r="O554" s="41">
        <v>100.68600000000001</v>
      </c>
      <c r="P554" s="44">
        <v>45</v>
      </c>
      <c r="Q554" s="44">
        <v>0</v>
      </c>
      <c r="R554" s="45">
        <f t="shared" si="115"/>
        <v>45</v>
      </c>
      <c r="S554" s="46">
        <v>1321</v>
      </c>
    </row>
    <row r="555" spans="2:19" ht="15.75" x14ac:dyDescent="0.25">
      <c r="B555" s="38">
        <f t="shared" si="116"/>
        <v>4</v>
      </c>
      <c r="C555" s="38" t="s">
        <v>816</v>
      </c>
      <c r="D555" s="39" t="s">
        <v>817</v>
      </c>
      <c r="E555" s="40">
        <v>44286</v>
      </c>
      <c r="F555" s="41">
        <v>77.686000000000007</v>
      </c>
      <c r="G555" s="42">
        <v>10</v>
      </c>
      <c r="H555" s="43">
        <f t="shared" si="113"/>
        <v>7.7686000000000011</v>
      </c>
      <c r="I555" s="41">
        <v>3808.8719999999998</v>
      </c>
      <c r="J555" s="41">
        <v>7664.4449999999997</v>
      </c>
      <c r="K555" s="41">
        <v>11715.572</v>
      </c>
      <c r="L555" s="41">
        <v>180.60499999999999</v>
      </c>
      <c r="M555" s="41">
        <v>175.69</v>
      </c>
      <c r="N555" s="43">
        <f t="shared" si="114"/>
        <v>175.73400000000001</v>
      </c>
      <c r="O555" s="41">
        <v>-4.3999999999999997E-2</v>
      </c>
      <c r="P555" s="44">
        <v>0</v>
      </c>
      <c r="Q555" s="44">
        <v>0</v>
      </c>
      <c r="R555" s="45">
        <f t="shared" si="115"/>
        <v>0</v>
      </c>
      <c r="S555" s="46">
        <v>1914</v>
      </c>
    </row>
    <row r="556" spans="2:19" ht="15.75" x14ac:dyDescent="0.25">
      <c r="B556" s="38">
        <f t="shared" si="116"/>
        <v>5</v>
      </c>
      <c r="C556" s="38" t="s">
        <v>818</v>
      </c>
      <c r="D556" s="39" t="s">
        <v>819</v>
      </c>
      <c r="E556" s="40">
        <v>44377</v>
      </c>
      <c r="F556" s="41">
        <v>1219.3340000000001</v>
      </c>
      <c r="G556" s="42">
        <v>10</v>
      </c>
      <c r="H556" s="43">
        <f t="shared" si="113"/>
        <v>121.93340000000001</v>
      </c>
      <c r="I556" s="41">
        <v>3515.6149999999998</v>
      </c>
      <c r="J556" s="41">
        <v>14023.003000000001</v>
      </c>
      <c r="K556" s="41">
        <v>13923.52</v>
      </c>
      <c r="L556" s="41">
        <v>504.048</v>
      </c>
      <c r="M556" s="41">
        <v>797.47299999999996</v>
      </c>
      <c r="N556" s="43">
        <f t="shared" si="114"/>
        <v>224.81700000000001</v>
      </c>
      <c r="O556" s="41">
        <v>572.65599999999995</v>
      </c>
      <c r="P556" s="44">
        <v>0</v>
      </c>
      <c r="Q556" s="44">
        <v>0</v>
      </c>
      <c r="R556" s="45">
        <f t="shared" si="115"/>
        <v>0</v>
      </c>
      <c r="S556" s="46">
        <v>4093</v>
      </c>
    </row>
    <row r="557" spans="2:19" ht="15.75" x14ac:dyDescent="0.25">
      <c r="B557" s="38">
        <f t="shared" si="116"/>
        <v>6</v>
      </c>
      <c r="C557" s="38" t="s">
        <v>820</v>
      </c>
      <c r="D557" s="39" t="s">
        <v>821</v>
      </c>
      <c r="E557" s="40">
        <v>44377</v>
      </c>
      <c r="F557" s="41">
        <v>2512.5</v>
      </c>
      <c r="G557" s="42">
        <v>10</v>
      </c>
      <c r="H557" s="43">
        <f t="shared" si="113"/>
        <v>251.25</v>
      </c>
      <c r="I557" s="41">
        <v>4128.4986150000004</v>
      </c>
      <c r="J557" s="41">
        <v>7016.4177440000003</v>
      </c>
      <c r="K557" s="41">
        <v>4717.2283980000002</v>
      </c>
      <c r="L557" s="41">
        <v>223.628727</v>
      </c>
      <c r="M557" s="41">
        <v>174.47958199999999</v>
      </c>
      <c r="N557" s="43">
        <f t="shared" si="114"/>
        <v>50.599926999999994</v>
      </c>
      <c r="O557" s="41">
        <v>123.879655</v>
      </c>
      <c r="P557" s="44">
        <v>0</v>
      </c>
      <c r="Q557" s="44">
        <v>0</v>
      </c>
      <c r="R557" s="45">
        <f t="shared" ref="R557:R558" si="117">SUM(P557:Q557)</f>
        <v>0</v>
      </c>
      <c r="S557" s="46">
        <v>9047</v>
      </c>
    </row>
    <row r="558" spans="2:19" ht="15.75" x14ac:dyDescent="0.25">
      <c r="B558" s="38">
        <f t="shared" si="116"/>
        <v>7</v>
      </c>
      <c r="C558" s="38" t="s">
        <v>822</v>
      </c>
      <c r="D558" s="39" t="s">
        <v>823</v>
      </c>
      <c r="E558" s="40">
        <v>44377</v>
      </c>
      <c r="F558" s="41">
        <v>1400</v>
      </c>
      <c r="G558" s="42">
        <v>10</v>
      </c>
      <c r="H558" s="43">
        <f t="shared" si="113"/>
        <v>140</v>
      </c>
      <c r="I558" s="41">
        <v>6576.7908360000001</v>
      </c>
      <c r="J558" s="41">
        <v>14270.133175000001</v>
      </c>
      <c r="K558" s="41">
        <v>16202.066691</v>
      </c>
      <c r="L558" s="41">
        <v>328.19198599999999</v>
      </c>
      <c r="M558" s="41">
        <v>1220.2643189999999</v>
      </c>
      <c r="N558" s="43">
        <f t="shared" si="114"/>
        <v>369.00190899999984</v>
      </c>
      <c r="O558" s="41">
        <v>851.26241000000005</v>
      </c>
      <c r="P558" s="44">
        <v>20</v>
      </c>
      <c r="Q558" s="44">
        <v>20</v>
      </c>
      <c r="R558" s="45">
        <f t="shared" si="117"/>
        <v>40</v>
      </c>
      <c r="S558" s="46">
        <v>3150</v>
      </c>
    </row>
    <row r="559" spans="2:19" ht="15.75" x14ac:dyDescent="0.25">
      <c r="B559" s="38">
        <f t="shared" si="116"/>
        <v>8</v>
      </c>
      <c r="C559" s="38" t="s">
        <v>824</v>
      </c>
      <c r="D559" s="39" t="s">
        <v>825</v>
      </c>
      <c r="E559" s="40">
        <v>44377</v>
      </c>
      <c r="F559" s="41">
        <v>405.15</v>
      </c>
      <c r="G559" s="42">
        <v>5</v>
      </c>
      <c r="H559" s="43">
        <f t="shared" si="113"/>
        <v>81.03</v>
      </c>
      <c r="I559" s="41">
        <v>23905.633000000002</v>
      </c>
      <c r="J559" s="41">
        <v>29534.208999999999</v>
      </c>
      <c r="K559" s="41">
        <v>27317.187999999998</v>
      </c>
      <c r="L559" s="41">
        <v>34.817</v>
      </c>
      <c r="M559" s="41">
        <v>4571.8649999999998</v>
      </c>
      <c r="N559" s="43">
        <f t="shared" si="114"/>
        <v>1089.6699999999996</v>
      </c>
      <c r="O559" s="41">
        <v>3482.1950000000002</v>
      </c>
      <c r="P559" s="44">
        <f>80+120</f>
        <v>200</v>
      </c>
      <c r="Q559" s="44">
        <v>0</v>
      </c>
      <c r="R559" s="45">
        <f t="shared" si="115"/>
        <v>200</v>
      </c>
      <c r="S559" s="46">
        <v>4484</v>
      </c>
    </row>
    <row r="560" spans="2:19" ht="15.75" x14ac:dyDescent="0.25">
      <c r="B560" s="32"/>
      <c r="C560" s="32"/>
      <c r="D560" s="32"/>
      <c r="E560" s="33"/>
      <c r="F560" s="32"/>
      <c r="G560" s="51"/>
      <c r="H560" s="57"/>
      <c r="I560" s="35"/>
      <c r="J560" s="35"/>
      <c r="K560" s="35"/>
      <c r="L560" s="35"/>
      <c r="M560" s="35"/>
      <c r="N560" s="58"/>
      <c r="O560" s="35"/>
      <c r="P560" s="35"/>
      <c r="Q560" s="35"/>
      <c r="R560" s="58"/>
      <c r="S560" s="35"/>
    </row>
    <row r="561" spans="2:19" ht="18.75" x14ac:dyDescent="0.3">
      <c r="B561" s="32"/>
      <c r="C561" s="32"/>
      <c r="D561" s="68" t="s">
        <v>41</v>
      </c>
      <c r="E561" s="33"/>
      <c r="F561" s="32"/>
      <c r="G561" s="51"/>
      <c r="H561" s="57"/>
      <c r="I561" s="35"/>
      <c r="J561" s="35"/>
      <c r="K561" s="35"/>
      <c r="L561" s="35"/>
      <c r="M561" s="35"/>
      <c r="N561" s="58"/>
      <c r="O561" s="35"/>
      <c r="P561" s="35"/>
      <c r="Q561" s="35"/>
      <c r="R561" s="58"/>
      <c r="S561" s="35"/>
    </row>
    <row r="562" spans="2:19" ht="15.75" x14ac:dyDescent="0.25">
      <c r="B562" s="38">
        <v>1</v>
      </c>
      <c r="C562" s="38" t="s">
        <v>826</v>
      </c>
      <c r="D562" s="39" t="s">
        <v>827</v>
      </c>
      <c r="E562" s="40">
        <v>44377</v>
      </c>
      <c r="F562" s="41">
        <v>58</v>
      </c>
      <c r="G562" s="42">
        <v>10</v>
      </c>
      <c r="H562" s="43">
        <f>+F562/G562</f>
        <v>5.8</v>
      </c>
      <c r="I562" s="41">
        <v>120.95786699999999</v>
      </c>
      <c r="J562" s="41">
        <v>246.15143399999999</v>
      </c>
      <c r="K562" s="41">
        <v>0</v>
      </c>
      <c r="L562" s="41">
        <v>1.0499999999999999E-3</v>
      </c>
      <c r="M562" s="41">
        <v>-3.520607</v>
      </c>
      <c r="N562" s="43">
        <f>+M562-O562</f>
        <v>0</v>
      </c>
      <c r="O562" s="41">
        <v>-3.520607</v>
      </c>
      <c r="P562" s="44">
        <v>0</v>
      </c>
      <c r="Q562" s="44">
        <v>0</v>
      </c>
      <c r="R562" s="45">
        <f>SUM(P562:Q562)</f>
        <v>0</v>
      </c>
      <c r="S562" s="46">
        <v>4914</v>
      </c>
    </row>
    <row r="563" spans="2:19" ht="15.75" x14ac:dyDescent="0.25">
      <c r="B563" s="38">
        <f>+B562+1</f>
        <v>2</v>
      </c>
      <c r="C563" s="38" t="s">
        <v>828</v>
      </c>
      <c r="D563" s="39" t="s">
        <v>829</v>
      </c>
      <c r="E563" s="40">
        <v>44377</v>
      </c>
      <c r="F563" s="41">
        <v>214</v>
      </c>
      <c r="G563" s="42">
        <v>10</v>
      </c>
      <c r="H563" s="43">
        <f>+F563/G563</f>
        <v>21.4</v>
      </c>
      <c r="I563" s="41">
        <v>-1320.807</v>
      </c>
      <c r="J563" s="41">
        <v>240.923</v>
      </c>
      <c r="K563" s="41">
        <v>0</v>
      </c>
      <c r="L563" s="41">
        <v>32.201000000000001</v>
      </c>
      <c r="M563" s="41">
        <v>-46.61</v>
      </c>
      <c r="N563" s="43">
        <f>+M563-O563</f>
        <v>-2.1019999999999968</v>
      </c>
      <c r="O563" s="41">
        <v>-44.508000000000003</v>
      </c>
      <c r="P563" s="44">
        <v>0</v>
      </c>
      <c r="Q563" s="44">
        <v>0</v>
      </c>
      <c r="R563" s="45">
        <f>SUM(P563:Q563)</f>
        <v>0</v>
      </c>
      <c r="S563" s="46">
        <v>1158</v>
      </c>
    </row>
    <row r="564" spans="2:19" ht="15.75" x14ac:dyDescent="0.25">
      <c r="B564" s="32"/>
      <c r="C564" s="32"/>
      <c r="D564" s="32"/>
      <c r="E564" s="33"/>
      <c r="F564" s="32"/>
      <c r="G564" s="51"/>
      <c r="H564" s="57"/>
      <c r="I564" s="35"/>
      <c r="J564" s="35"/>
      <c r="K564" s="35"/>
      <c r="L564" s="35"/>
      <c r="M564" s="35"/>
      <c r="N564" s="58"/>
      <c r="O564" s="35"/>
      <c r="P564" s="35"/>
      <c r="Q564" s="35"/>
      <c r="R564" s="58"/>
      <c r="S564" s="35"/>
    </row>
    <row r="565" spans="2:19" ht="15.75" x14ac:dyDescent="0.25">
      <c r="B565" s="38">
        <f>COUNT(B552:B564)</f>
        <v>10</v>
      </c>
      <c r="C565" s="38"/>
      <c r="D565" s="60"/>
      <c r="E565" s="40"/>
      <c r="F565" s="60">
        <f>SUM(F552:F564)</f>
        <v>6407.61</v>
      </c>
      <c r="G565" s="61"/>
      <c r="H565" s="62">
        <f t="shared" ref="H565:O565" si="118">SUM(H552:H564)</f>
        <v>695.67599999999993</v>
      </c>
      <c r="I565" s="60">
        <f t="shared" si="118"/>
        <v>52655.539318000003</v>
      </c>
      <c r="J565" s="60">
        <f t="shared" si="118"/>
        <v>90559.669353000005</v>
      </c>
      <c r="K565" s="60">
        <f t="shared" si="118"/>
        <v>102375.465089</v>
      </c>
      <c r="L565" s="60">
        <f t="shared" si="118"/>
        <v>1449.2547630000001</v>
      </c>
      <c r="M565" s="60">
        <f t="shared" si="118"/>
        <v>9060.3022939999992</v>
      </c>
      <c r="N565" s="63">
        <f t="shared" si="118"/>
        <v>2430.3238359999996</v>
      </c>
      <c r="O565" s="60">
        <f t="shared" si="118"/>
        <v>6629.9784579999996</v>
      </c>
      <c r="P565" s="64"/>
      <c r="Q565" s="64"/>
      <c r="R565" s="65"/>
      <c r="S565" s="66">
        <f>SUM(S552:S564)</f>
        <v>35469</v>
      </c>
    </row>
    <row r="566" spans="2:19" ht="15.75" x14ac:dyDescent="0.25">
      <c r="B566" s="32"/>
      <c r="C566" s="32"/>
      <c r="D566" s="32"/>
      <c r="E566" s="33"/>
      <c r="F566" s="32"/>
      <c r="G566" s="51"/>
      <c r="H566" s="57"/>
      <c r="I566" s="35"/>
      <c r="J566" s="35"/>
      <c r="K566" s="35"/>
      <c r="L566" s="35"/>
      <c r="M566" s="35"/>
      <c r="N566" s="58"/>
      <c r="O566" s="35"/>
      <c r="P566" s="35"/>
      <c r="Q566" s="35"/>
      <c r="R566" s="58"/>
      <c r="S566" s="35"/>
    </row>
    <row r="567" spans="2:19" ht="15.75" x14ac:dyDescent="0.25">
      <c r="B567" s="32"/>
      <c r="C567" s="32"/>
      <c r="D567" s="32"/>
      <c r="E567" s="33"/>
      <c r="F567" s="32"/>
      <c r="G567" s="51"/>
      <c r="H567" s="57"/>
      <c r="I567" s="35"/>
      <c r="J567" s="35"/>
      <c r="K567" s="35"/>
      <c r="L567" s="35"/>
      <c r="M567" s="35"/>
      <c r="N567" s="58"/>
      <c r="O567" s="35"/>
      <c r="P567" s="35"/>
      <c r="Q567" s="35"/>
      <c r="R567" s="58"/>
      <c r="S567" s="35"/>
    </row>
    <row r="568" spans="2:19" ht="18.75" x14ac:dyDescent="0.3">
      <c r="B568" s="32"/>
      <c r="C568" s="37">
        <v>24</v>
      </c>
      <c r="D568" s="37" t="s">
        <v>830</v>
      </c>
      <c r="E568" s="73"/>
      <c r="F568" s="74"/>
      <c r="G568" s="51"/>
      <c r="H568" s="57"/>
      <c r="I568" s="35"/>
      <c r="J568" s="35"/>
      <c r="K568" s="35"/>
      <c r="L568" s="35"/>
      <c r="M568" s="35"/>
      <c r="N568" s="58"/>
      <c r="O568" s="35"/>
      <c r="P568" s="35"/>
      <c r="Q568" s="35"/>
      <c r="R568" s="58"/>
      <c r="S568" s="35"/>
    </row>
    <row r="569" spans="2:19" ht="15.75" x14ac:dyDescent="0.25">
      <c r="B569" s="32"/>
      <c r="C569" s="32"/>
      <c r="D569" s="32"/>
      <c r="E569" s="33"/>
      <c r="F569" s="32"/>
      <c r="G569" s="51"/>
      <c r="H569" s="57"/>
      <c r="I569" s="35"/>
      <c r="J569" s="35"/>
      <c r="K569" s="35"/>
      <c r="L569" s="35"/>
      <c r="M569" s="35"/>
      <c r="N569" s="58"/>
      <c r="O569" s="35"/>
      <c r="P569" s="35"/>
      <c r="Q569" s="35"/>
      <c r="R569" s="58"/>
      <c r="S569" s="35"/>
    </row>
    <row r="570" spans="2:19" ht="15.75" x14ac:dyDescent="0.25">
      <c r="B570" s="38">
        <v>1</v>
      </c>
      <c r="C570" s="38" t="s">
        <v>831</v>
      </c>
      <c r="D570" s="39" t="s">
        <v>832</v>
      </c>
      <c r="E570" s="40">
        <v>44377</v>
      </c>
      <c r="F570" s="41">
        <v>350</v>
      </c>
      <c r="G570" s="42">
        <v>10</v>
      </c>
      <c r="H570" s="43">
        <f t="shared" ref="H570:H574" si="119">+F570/G570</f>
        <v>35</v>
      </c>
      <c r="I570" s="41">
        <v>2071.0983270000002</v>
      </c>
      <c r="J570" s="41">
        <v>3476.048511</v>
      </c>
      <c r="K570" s="41">
        <v>2035.4567970000001</v>
      </c>
      <c r="L570" s="41">
        <v>87.521908999999994</v>
      </c>
      <c r="M570" s="41">
        <v>279.765332</v>
      </c>
      <c r="N570" s="43">
        <f t="shared" ref="N570:N574" si="120">+M570-O570</f>
        <v>77.837234999999993</v>
      </c>
      <c r="O570" s="41">
        <v>201.92809700000001</v>
      </c>
      <c r="P570" s="44">
        <v>10</v>
      </c>
      <c r="Q570" s="44">
        <v>0</v>
      </c>
      <c r="R570" s="45">
        <f t="shared" ref="R570:R574" si="121">SUM(P570:Q570)</f>
        <v>10</v>
      </c>
      <c r="S570" s="46">
        <v>816</v>
      </c>
    </row>
    <row r="571" spans="2:19" ht="15.75" x14ac:dyDescent="0.25">
      <c r="B571" s="38">
        <f>+B570+1</f>
        <v>2</v>
      </c>
      <c r="C571" s="72" t="s">
        <v>833</v>
      </c>
      <c r="D571" s="39" t="s">
        <v>834</v>
      </c>
      <c r="E571" s="40">
        <v>44561</v>
      </c>
      <c r="F571" s="41">
        <v>4976.8100000000004</v>
      </c>
      <c r="G571" s="42">
        <v>10</v>
      </c>
      <c r="H571" s="43">
        <f t="shared" si="119"/>
        <v>497.68100000000004</v>
      </c>
      <c r="I571" s="41"/>
      <c r="J571" s="41"/>
      <c r="K571" s="41"/>
      <c r="L571" s="41"/>
      <c r="M571" s="41"/>
      <c r="N571" s="43">
        <f t="shared" si="120"/>
        <v>0</v>
      </c>
      <c r="O571" s="41"/>
      <c r="P571" s="44"/>
      <c r="Q571" s="44"/>
      <c r="R571" s="45">
        <f t="shared" si="121"/>
        <v>0</v>
      </c>
      <c r="S571" s="46"/>
    </row>
    <row r="572" spans="2:19" ht="15.75" x14ac:dyDescent="0.25">
      <c r="B572" s="38">
        <f t="shared" ref="B572:B574" si="122">+B571+1</f>
        <v>3</v>
      </c>
      <c r="C572" s="38" t="s">
        <v>835</v>
      </c>
      <c r="D572" s="39" t="s">
        <v>836</v>
      </c>
      <c r="E572" s="40">
        <v>44377</v>
      </c>
      <c r="F572" s="41">
        <v>355.779</v>
      </c>
      <c r="G572" s="42">
        <v>10</v>
      </c>
      <c r="H572" s="43">
        <f t="shared" si="119"/>
        <v>35.5779</v>
      </c>
      <c r="I572" s="41">
        <v>5348.6980000000003</v>
      </c>
      <c r="J572" s="41">
        <v>11031.915000000001</v>
      </c>
      <c r="K572" s="41">
        <v>13145.050999999999</v>
      </c>
      <c r="L572" s="41">
        <v>192.47300000000001</v>
      </c>
      <c r="M572" s="41">
        <v>749.79399999999998</v>
      </c>
      <c r="N572" s="43">
        <f t="shared" si="120"/>
        <v>196.14699999999993</v>
      </c>
      <c r="O572" s="41">
        <v>553.64700000000005</v>
      </c>
      <c r="P572" s="44">
        <v>80</v>
      </c>
      <c r="Q572" s="44">
        <v>0</v>
      </c>
      <c r="R572" s="45">
        <f t="shared" si="121"/>
        <v>80</v>
      </c>
      <c r="S572" s="46">
        <v>2386</v>
      </c>
    </row>
    <row r="573" spans="2:19" ht="15.75" x14ac:dyDescent="0.25">
      <c r="B573" s="38">
        <f t="shared" si="122"/>
        <v>4</v>
      </c>
      <c r="C573" s="38" t="s">
        <v>837</v>
      </c>
      <c r="D573" s="39" t="s">
        <v>838</v>
      </c>
      <c r="E573" s="40">
        <v>44469</v>
      </c>
      <c r="F573" s="41">
        <v>82.47</v>
      </c>
      <c r="G573" s="42">
        <v>10</v>
      </c>
      <c r="H573" s="43">
        <f t="shared" si="119"/>
        <v>8.2469999999999999</v>
      </c>
      <c r="I573" s="41">
        <v>5806.2969999999996</v>
      </c>
      <c r="J573" s="41">
        <v>17804.685000000001</v>
      </c>
      <c r="K573" s="41">
        <v>14348.95</v>
      </c>
      <c r="L573" s="41">
        <v>33.697000000000003</v>
      </c>
      <c r="M573" s="41">
        <v>1390.0550000000001</v>
      </c>
      <c r="N573" s="43">
        <f t="shared" si="120"/>
        <v>540.05000000000007</v>
      </c>
      <c r="O573" s="41">
        <v>850.005</v>
      </c>
      <c r="P573" s="44">
        <v>460</v>
      </c>
      <c r="Q573" s="44">
        <v>0</v>
      </c>
      <c r="R573" s="45">
        <f t="shared" si="121"/>
        <v>460</v>
      </c>
      <c r="S573" s="46">
        <v>1513</v>
      </c>
    </row>
    <row r="574" spans="2:19" ht="15.75" x14ac:dyDescent="0.25">
      <c r="B574" s="38">
        <f t="shared" si="122"/>
        <v>5</v>
      </c>
      <c r="C574" s="72" t="s">
        <v>839</v>
      </c>
      <c r="D574" s="39" t="s">
        <v>840</v>
      </c>
      <c r="E574" s="40">
        <v>44561</v>
      </c>
      <c r="F574" s="41"/>
      <c r="G574" s="42">
        <v>10</v>
      </c>
      <c r="H574" s="43">
        <f t="shared" si="119"/>
        <v>0</v>
      </c>
      <c r="I574" s="41"/>
      <c r="J574" s="41"/>
      <c r="K574" s="41"/>
      <c r="L574" s="41"/>
      <c r="M574" s="41"/>
      <c r="N574" s="43">
        <f t="shared" si="120"/>
        <v>0</v>
      </c>
      <c r="O574" s="41"/>
      <c r="P574" s="44"/>
      <c r="Q574" s="44"/>
      <c r="R574" s="45">
        <f t="shared" si="121"/>
        <v>0</v>
      </c>
      <c r="S574" s="46"/>
    </row>
    <row r="575" spans="2:19" ht="15.75" x14ac:dyDescent="0.25">
      <c r="B575" s="47"/>
      <c r="C575" s="75"/>
      <c r="D575" s="48"/>
      <c r="E575" s="49"/>
      <c r="F575" s="50"/>
      <c r="G575" s="51"/>
      <c r="H575" s="52"/>
      <c r="I575" s="50"/>
      <c r="J575" s="50"/>
      <c r="K575" s="50"/>
      <c r="L575" s="50"/>
      <c r="M575" s="50"/>
      <c r="N575" s="52"/>
      <c r="O575" s="50"/>
      <c r="P575" s="53"/>
      <c r="Q575" s="53"/>
      <c r="R575" s="54"/>
      <c r="S575" s="55"/>
    </row>
    <row r="576" spans="2:19" ht="18.75" x14ac:dyDescent="0.3">
      <c r="B576" s="47"/>
      <c r="C576" s="75"/>
      <c r="D576" s="68" t="s">
        <v>41</v>
      </c>
      <c r="E576" s="49"/>
      <c r="F576" s="50"/>
      <c r="G576" s="51"/>
      <c r="H576" s="52"/>
      <c r="I576" s="50"/>
      <c r="J576" s="50"/>
      <c r="K576" s="50"/>
      <c r="L576" s="50"/>
      <c r="M576" s="50"/>
      <c r="N576" s="52"/>
      <c r="O576" s="50"/>
      <c r="P576" s="53"/>
      <c r="Q576" s="53"/>
      <c r="R576" s="54"/>
      <c r="S576" s="55"/>
    </row>
    <row r="577" spans="2:19" ht="15.75" x14ac:dyDescent="0.25">
      <c r="B577" s="38">
        <v>1</v>
      </c>
      <c r="C577" s="38" t="s">
        <v>841</v>
      </c>
      <c r="D577" s="39" t="s">
        <v>842</v>
      </c>
      <c r="E577" s="40">
        <v>44377</v>
      </c>
      <c r="F577" s="41">
        <v>54.5</v>
      </c>
      <c r="G577" s="42">
        <v>10</v>
      </c>
      <c r="H577" s="43">
        <f>+F577/G577</f>
        <v>5.45</v>
      </c>
      <c r="I577" s="41">
        <v>97.748999999999995</v>
      </c>
      <c r="J577" s="41">
        <v>514.46400000000006</v>
      </c>
      <c r="K577" s="41">
        <v>0</v>
      </c>
      <c r="L577" s="41">
        <v>0</v>
      </c>
      <c r="M577" s="41">
        <v>-15.313000000000001</v>
      </c>
      <c r="N577" s="43">
        <f>+M577-O577</f>
        <v>-0.8100000000000005</v>
      </c>
      <c r="O577" s="41">
        <v>-14.503</v>
      </c>
      <c r="P577" s="44">
        <v>0</v>
      </c>
      <c r="Q577" s="44">
        <v>0</v>
      </c>
      <c r="R577" s="45">
        <f>SUM(P577:Q577)</f>
        <v>0</v>
      </c>
      <c r="S577" s="46">
        <v>1108</v>
      </c>
    </row>
    <row r="578" spans="2:19" ht="15.75" x14ac:dyDescent="0.25">
      <c r="B578" s="47"/>
      <c r="C578" s="75"/>
      <c r="D578" s="48"/>
      <c r="E578" s="49"/>
      <c r="F578" s="50"/>
      <c r="G578" s="51"/>
      <c r="H578" s="52"/>
      <c r="I578" s="50"/>
      <c r="J578" s="50"/>
      <c r="K578" s="50"/>
      <c r="L578" s="50"/>
      <c r="M578" s="50"/>
      <c r="N578" s="52"/>
      <c r="O578" s="50"/>
      <c r="P578" s="53"/>
      <c r="Q578" s="53"/>
      <c r="R578" s="54"/>
      <c r="S578" s="55"/>
    </row>
    <row r="579" spans="2:19" ht="15.75" x14ac:dyDescent="0.25">
      <c r="B579" s="38">
        <f>COUNT(B570:B578)</f>
        <v>6</v>
      </c>
      <c r="C579" s="38"/>
      <c r="D579" s="60"/>
      <c r="E579" s="40"/>
      <c r="F579" s="60">
        <f>SUM(F570:F578)</f>
        <v>5819.5590000000002</v>
      </c>
      <c r="G579" s="61"/>
      <c r="H579" s="62">
        <f t="shared" ref="H579:O579" si="123">SUM(H570:H578)</f>
        <v>581.95590000000004</v>
      </c>
      <c r="I579" s="60">
        <f t="shared" si="123"/>
        <v>13323.842326999998</v>
      </c>
      <c r="J579" s="60">
        <f t="shared" si="123"/>
        <v>32827.112511000007</v>
      </c>
      <c r="K579" s="60">
        <f t="shared" si="123"/>
        <v>29529.457797000003</v>
      </c>
      <c r="L579" s="60">
        <f t="shared" si="123"/>
        <v>313.69190900000001</v>
      </c>
      <c r="M579" s="60">
        <f t="shared" si="123"/>
        <v>2404.301332</v>
      </c>
      <c r="N579" s="63">
        <f t="shared" si="123"/>
        <v>813.22423500000002</v>
      </c>
      <c r="O579" s="60">
        <f t="shared" si="123"/>
        <v>1591.0770970000001</v>
      </c>
      <c r="P579" s="64"/>
      <c r="Q579" s="64"/>
      <c r="R579" s="65"/>
      <c r="S579" s="66">
        <f>SUM(S570:S578)</f>
        <v>5823</v>
      </c>
    </row>
    <row r="580" spans="2:19" ht="15.75" x14ac:dyDescent="0.25">
      <c r="B580" s="32"/>
      <c r="C580" s="32"/>
      <c r="D580" s="32"/>
      <c r="E580" s="33"/>
      <c r="F580" s="32"/>
      <c r="G580" s="51"/>
      <c r="H580" s="57"/>
      <c r="I580" s="35"/>
      <c r="J580" s="35"/>
      <c r="K580" s="35"/>
      <c r="L580" s="35"/>
      <c r="M580" s="35"/>
      <c r="N580" s="58"/>
      <c r="O580" s="35"/>
      <c r="P580" s="35"/>
      <c r="Q580" s="35"/>
      <c r="R580" s="58"/>
      <c r="S580" s="35"/>
    </row>
    <row r="581" spans="2:19" ht="15.75" x14ac:dyDescent="0.25">
      <c r="B581" s="32"/>
      <c r="C581" s="32"/>
      <c r="D581" s="32"/>
      <c r="E581" s="33"/>
      <c r="F581" s="32"/>
      <c r="G581" s="51"/>
      <c r="H581" s="57"/>
      <c r="I581" s="35"/>
      <c r="J581" s="35"/>
      <c r="K581" s="35"/>
      <c r="L581" s="35"/>
      <c r="M581" s="35"/>
      <c r="N581" s="58"/>
      <c r="O581" s="35"/>
      <c r="P581" s="35"/>
      <c r="Q581" s="35"/>
      <c r="R581" s="58"/>
      <c r="S581" s="35"/>
    </row>
    <row r="582" spans="2:19" ht="18.75" x14ac:dyDescent="0.3">
      <c r="B582" s="32"/>
      <c r="C582" s="37">
        <v>25</v>
      </c>
      <c r="D582" s="37" t="s">
        <v>843</v>
      </c>
      <c r="E582" s="73"/>
      <c r="F582" s="74"/>
      <c r="G582" s="51"/>
      <c r="H582" s="57"/>
      <c r="I582" s="35"/>
      <c r="J582" s="35"/>
      <c r="K582" s="35"/>
      <c r="L582" s="35"/>
      <c r="M582" s="35"/>
      <c r="N582" s="58"/>
      <c r="O582" s="35"/>
      <c r="P582" s="35"/>
      <c r="Q582" s="35"/>
      <c r="R582" s="58"/>
      <c r="S582" s="35"/>
    </row>
    <row r="583" spans="2:19" ht="15.75" x14ac:dyDescent="0.25">
      <c r="B583" s="32"/>
      <c r="C583" s="32"/>
      <c r="D583" s="32"/>
      <c r="E583" s="33"/>
      <c r="F583" s="32"/>
      <c r="G583" s="51"/>
      <c r="H583" s="57"/>
      <c r="I583" s="35"/>
      <c r="J583" s="35"/>
      <c r="K583" s="35"/>
      <c r="L583" s="35"/>
      <c r="M583" s="35"/>
      <c r="N583" s="58"/>
      <c r="O583" s="35"/>
      <c r="P583" s="35"/>
      <c r="Q583" s="35"/>
      <c r="R583" s="58"/>
      <c r="S583" s="35"/>
    </row>
    <row r="584" spans="2:19" ht="15.75" x14ac:dyDescent="0.25">
      <c r="B584" s="72">
        <v>1</v>
      </c>
      <c r="C584" s="72" t="s">
        <v>844</v>
      </c>
      <c r="D584" s="59" t="s">
        <v>845</v>
      </c>
      <c r="E584" s="40">
        <v>44377</v>
      </c>
      <c r="F584" s="82">
        <v>221.05199999999999</v>
      </c>
      <c r="G584" s="83">
        <v>10</v>
      </c>
      <c r="H584" s="84">
        <f>+F584/G584</f>
        <v>22.1052</v>
      </c>
      <c r="I584" s="82">
        <v>13.693121</v>
      </c>
      <c r="J584" s="82">
        <v>41.961205</v>
      </c>
      <c r="K584" s="82">
        <v>0</v>
      </c>
      <c r="L584" s="82">
        <v>1.5E-3</v>
      </c>
      <c r="M584" s="82">
        <v>-5.489725</v>
      </c>
      <c r="N584" s="84">
        <f>+M584-O584</f>
        <v>0</v>
      </c>
      <c r="O584" s="82">
        <v>-5.489725</v>
      </c>
      <c r="P584" s="85">
        <v>0</v>
      </c>
      <c r="Q584" s="85">
        <v>0</v>
      </c>
      <c r="R584" s="86">
        <f>SUM(P584:Q584)</f>
        <v>0</v>
      </c>
      <c r="S584" s="87">
        <v>1606</v>
      </c>
    </row>
    <row r="585" spans="2:19" ht="15.75" x14ac:dyDescent="0.25">
      <c r="B585" s="72">
        <f>+B584+1</f>
        <v>2</v>
      </c>
      <c r="C585" s="72" t="s">
        <v>846</v>
      </c>
      <c r="D585" s="39" t="s">
        <v>847</v>
      </c>
      <c r="E585" s="40">
        <v>44561</v>
      </c>
      <c r="F585" s="41"/>
      <c r="G585" s="42">
        <v>10</v>
      </c>
      <c r="H585" s="43">
        <f>+F585/G585</f>
        <v>0</v>
      </c>
      <c r="I585" s="41"/>
      <c r="J585" s="41"/>
      <c r="K585" s="41"/>
      <c r="L585" s="41"/>
      <c r="M585" s="41"/>
      <c r="N585" s="43">
        <f>+M585-O585</f>
        <v>0</v>
      </c>
      <c r="O585" s="41"/>
      <c r="P585" s="44"/>
      <c r="Q585" s="44"/>
      <c r="R585" s="45">
        <f>SUM(P585:Q585)</f>
        <v>0</v>
      </c>
      <c r="S585" s="46"/>
    </row>
    <row r="586" spans="2:19" ht="15.75" x14ac:dyDescent="0.25">
      <c r="B586" s="72">
        <f>+B585+1</f>
        <v>3</v>
      </c>
      <c r="C586" s="38" t="s">
        <v>848</v>
      </c>
      <c r="D586" s="39" t="s">
        <v>849</v>
      </c>
      <c r="E586" s="40">
        <v>44377</v>
      </c>
      <c r="F586" s="41">
        <v>17860.928</v>
      </c>
      <c r="G586" s="42">
        <v>10</v>
      </c>
      <c r="H586" s="43">
        <f>+F586/G586</f>
        <v>1786.0927999999999</v>
      </c>
      <c r="I586" s="41">
        <v>22389.79</v>
      </c>
      <c r="J586" s="41">
        <v>37865.949000000001</v>
      </c>
      <c r="K586" s="41">
        <v>10853.552</v>
      </c>
      <c r="L586" s="41">
        <v>976.29499999999996</v>
      </c>
      <c r="M586" s="41">
        <v>2445.8510000000001</v>
      </c>
      <c r="N586" s="43">
        <f>+M586-O586</f>
        <v>587.00200000000018</v>
      </c>
      <c r="O586" s="41">
        <v>1858.8489999999999</v>
      </c>
      <c r="P586" s="44">
        <v>0</v>
      </c>
      <c r="Q586" s="44">
        <v>0</v>
      </c>
      <c r="R586" s="45">
        <f>SUM(P586:Q586)</f>
        <v>0</v>
      </c>
      <c r="S586" s="46">
        <v>21056</v>
      </c>
    </row>
    <row r="587" spans="2:19" ht="15.75" x14ac:dyDescent="0.25">
      <c r="B587" s="72">
        <f t="shared" ref="B587:B588" si="124">+B586+1</f>
        <v>4</v>
      </c>
      <c r="C587" s="38" t="s">
        <v>850</v>
      </c>
      <c r="D587" s="39" t="s">
        <v>851</v>
      </c>
      <c r="E587" s="40">
        <v>44561</v>
      </c>
      <c r="F587" s="41">
        <v>1091.5319999999999</v>
      </c>
      <c r="G587" s="42">
        <v>10</v>
      </c>
      <c r="H587" s="43">
        <f>+F587/G587</f>
        <v>109.1532</v>
      </c>
      <c r="I587" s="41"/>
      <c r="J587" s="41"/>
      <c r="K587" s="41"/>
      <c r="L587" s="41"/>
      <c r="M587" s="41">
        <v>4775.8959999999997</v>
      </c>
      <c r="N587" s="43">
        <f>+M587-O587</f>
        <v>1386.2339999999999</v>
      </c>
      <c r="O587" s="41">
        <v>3389.6619999999998</v>
      </c>
      <c r="P587" s="44">
        <f>20+20+196+90</f>
        <v>326</v>
      </c>
      <c r="Q587" s="44">
        <v>0</v>
      </c>
      <c r="R587" s="45">
        <f>SUM(P587:Q587)</f>
        <v>326</v>
      </c>
      <c r="S587" s="46"/>
    </row>
    <row r="588" spans="2:19" ht="15.75" x14ac:dyDescent="0.25">
      <c r="B588" s="72">
        <f t="shared" si="124"/>
        <v>5</v>
      </c>
      <c r="C588" s="38" t="s">
        <v>852</v>
      </c>
      <c r="D588" s="39" t="s">
        <v>853</v>
      </c>
      <c r="E588" s="40">
        <v>44377</v>
      </c>
      <c r="F588" s="41">
        <v>1320.634</v>
      </c>
      <c r="G588" s="42">
        <v>10</v>
      </c>
      <c r="H588" s="43">
        <f>+F588/G588</f>
        <v>132.0634</v>
      </c>
      <c r="I588" s="41">
        <v>11684.186</v>
      </c>
      <c r="J588" s="41">
        <v>54731.671999999999</v>
      </c>
      <c r="K588" s="41">
        <v>2597.7820000000002</v>
      </c>
      <c r="L588" s="41">
        <v>551.41700000000003</v>
      </c>
      <c r="M588" s="41">
        <v>799.16300000000001</v>
      </c>
      <c r="N588" s="43">
        <f>+M588-O588</f>
        <v>104.34500000000003</v>
      </c>
      <c r="O588" s="41">
        <v>694.81799999999998</v>
      </c>
      <c r="P588" s="44">
        <v>30</v>
      </c>
      <c r="Q588" s="44">
        <v>0</v>
      </c>
      <c r="R588" s="45">
        <f>SUM(P588:Q588)</f>
        <v>30</v>
      </c>
      <c r="S588" s="46">
        <v>16280</v>
      </c>
    </row>
    <row r="589" spans="2:19" ht="15.75" x14ac:dyDescent="0.25">
      <c r="B589" s="32"/>
      <c r="C589" s="32"/>
      <c r="D589" s="32"/>
      <c r="E589" s="33"/>
      <c r="F589" s="32"/>
      <c r="G589" s="51"/>
      <c r="H589" s="57"/>
      <c r="I589" s="35"/>
      <c r="J589" s="35"/>
      <c r="K589" s="35"/>
      <c r="L589" s="35"/>
      <c r="M589" s="35"/>
      <c r="N589" s="58"/>
      <c r="O589" s="35"/>
      <c r="P589" s="35"/>
      <c r="Q589" s="35"/>
      <c r="R589" s="58"/>
      <c r="S589" s="35"/>
    </row>
    <row r="590" spans="2:19" ht="15.75" x14ac:dyDescent="0.25">
      <c r="B590" s="38">
        <f>COUNT(B584:B589)</f>
        <v>5</v>
      </c>
      <c r="C590" s="38"/>
      <c r="D590" s="60"/>
      <c r="E590" s="40"/>
      <c r="F590" s="60">
        <f>SUM(F584:F589)</f>
        <v>20494.146000000001</v>
      </c>
      <c r="G590" s="61"/>
      <c r="H590" s="62">
        <f t="shared" ref="H590:O590" si="125">SUM(H584:H589)</f>
        <v>2049.4146000000001</v>
      </c>
      <c r="I590" s="60">
        <f t="shared" si="125"/>
        <v>34087.669120999999</v>
      </c>
      <c r="J590" s="60">
        <f t="shared" si="125"/>
        <v>92639.582204999999</v>
      </c>
      <c r="K590" s="60">
        <f t="shared" si="125"/>
        <v>13451.333999999999</v>
      </c>
      <c r="L590" s="60">
        <f t="shared" si="125"/>
        <v>1527.7134999999998</v>
      </c>
      <c r="M590" s="60">
        <f t="shared" si="125"/>
        <v>8015.4202750000004</v>
      </c>
      <c r="N590" s="63">
        <f t="shared" si="125"/>
        <v>2077.5810000000001</v>
      </c>
      <c r="O590" s="60">
        <f t="shared" si="125"/>
        <v>5937.8392750000003</v>
      </c>
      <c r="P590" s="64"/>
      <c r="Q590" s="64"/>
      <c r="R590" s="65"/>
      <c r="S590" s="66">
        <f>SUM(S584:S589)</f>
        <v>38942</v>
      </c>
    </row>
    <row r="591" spans="2:19" ht="15.75" x14ac:dyDescent="0.25">
      <c r="B591" s="32"/>
      <c r="C591" s="32"/>
      <c r="D591" s="32"/>
      <c r="E591" s="33"/>
      <c r="F591" s="32"/>
      <c r="G591" s="51"/>
      <c r="H591" s="57"/>
      <c r="I591" s="35"/>
      <c r="J591" s="35"/>
      <c r="K591" s="35"/>
      <c r="L591" s="35"/>
      <c r="M591" s="35"/>
      <c r="N591" s="58"/>
      <c r="O591" s="35"/>
      <c r="P591" s="35"/>
      <c r="Q591" s="35"/>
      <c r="R591" s="58"/>
      <c r="S591" s="35"/>
    </row>
    <row r="592" spans="2:19" ht="15.75" x14ac:dyDescent="0.25">
      <c r="B592" s="32"/>
      <c r="C592" s="32"/>
      <c r="D592" s="32"/>
      <c r="E592" s="33"/>
      <c r="F592" s="32"/>
      <c r="G592" s="51"/>
      <c r="H592" s="57"/>
      <c r="I592" s="35"/>
      <c r="J592" s="35"/>
      <c r="K592" s="35"/>
      <c r="L592" s="35"/>
      <c r="M592" s="35"/>
      <c r="N592" s="58"/>
      <c r="O592" s="35"/>
      <c r="P592" s="35"/>
      <c r="Q592" s="35"/>
      <c r="R592" s="58"/>
      <c r="S592" s="35"/>
    </row>
    <row r="593" spans="2:19" ht="18.75" x14ac:dyDescent="0.3">
      <c r="B593" s="32"/>
      <c r="C593" s="37">
        <v>26</v>
      </c>
      <c r="D593" s="37" t="s">
        <v>854</v>
      </c>
      <c r="E593" s="73"/>
      <c r="F593" s="74"/>
      <c r="G593" s="51"/>
      <c r="H593" s="57"/>
      <c r="I593" s="35"/>
      <c r="J593" s="35"/>
      <c r="K593" s="35"/>
      <c r="L593" s="35"/>
      <c r="M593" s="35"/>
      <c r="N593" s="58"/>
      <c r="O593" s="35"/>
      <c r="P593" s="35"/>
      <c r="Q593" s="35"/>
      <c r="R593" s="58"/>
      <c r="S593" s="35"/>
    </row>
    <row r="594" spans="2:19" ht="15.75" x14ac:dyDescent="0.25">
      <c r="B594" s="32"/>
      <c r="C594" s="32"/>
      <c r="D594" s="32"/>
      <c r="E594" s="33"/>
      <c r="F594" s="32"/>
      <c r="G594" s="51"/>
      <c r="H594" s="57"/>
      <c r="I594" s="35"/>
      <c r="J594" s="35"/>
      <c r="K594" s="35"/>
      <c r="L594" s="35"/>
      <c r="M594" s="35"/>
      <c r="N594" s="58"/>
      <c r="O594" s="35"/>
      <c r="P594" s="35"/>
      <c r="Q594" s="35"/>
      <c r="R594" s="58"/>
      <c r="S594" s="35"/>
    </row>
    <row r="595" spans="2:19" ht="15.75" x14ac:dyDescent="0.25">
      <c r="B595" s="38">
        <v>1</v>
      </c>
      <c r="C595" s="38" t="s">
        <v>855</v>
      </c>
      <c r="D595" s="39" t="s">
        <v>856</v>
      </c>
      <c r="E595" s="40">
        <v>44377</v>
      </c>
      <c r="F595" s="41">
        <v>3676.9229999999998</v>
      </c>
      <c r="G595" s="42">
        <v>10</v>
      </c>
      <c r="H595" s="43">
        <f t="shared" ref="H595:H609" si="126">+F595/G595</f>
        <v>367.69229999999999</v>
      </c>
      <c r="I595" s="41">
        <v>6479.1554480000004</v>
      </c>
      <c r="J595" s="41">
        <v>15748.414982</v>
      </c>
      <c r="K595" s="41">
        <v>47372.802391999998</v>
      </c>
      <c r="L595" s="41">
        <v>1102.2642430000001</v>
      </c>
      <c r="M595" s="41">
        <v>2404.0581710000001</v>
      </c>
      <c r="N595" s="43">
        <f t="shared" ref="N595:N609" si="127">+M595-O595</f>
        <v>899.05369000000019</v>
      </c>
      <c r="O595" s="41">
        <v>1505.0044809999999</v>
      </c>
      <c r="P595" s="44">
        <v>12.5</v>
      </c>
      <c r="Q595" s="44">
        <v>7.5</v>
      </c>
      <c r="R595" s="45">
        <f t="shared" ref="R595:R609" si="128">SUM(P595:Q595)</f>
        <v>20</v>
      </c>
      <c r="S595" s="46">
        <v>12</v>
      </c>
    </row>
    <row r="596" spans="2:19" ht="15.75" x14ac:dyDescent="0.25">
      <c r="B596" s="38">
        <f>+B595+1</f>
        <v>2</v>
      </c>
      <c r="C596" s="38" t="s">
        <v>857</v>
      </c>
      <c r="D596" s="39" t="s">
        <v>858</v>
      </c>
      <c r="E596" s="40">
        <v>44561</v>
      </c>
      <c r="F596" s="41"/>
      <c r="G596" s="42">
        <v>10</v>
      </c>
      <c r="H596" s="43">
        <f t="shared" si="126"/>
        <v>0</v>
      </c>
      <c r="I596" s="41"/>
      <c r="J596" s="41"/>
      <c r="K596" s="41"/>
      <c r="L596" s="41"/>
      <c r="M596" s="41"/>
      <c r="N596" s="43">
        <f t="shared" si="127"/>
        <v>0</v>
      </c>
      <c r="O596" s="41"/>
      <c r="P596" s="44"/>
      <c r="Q596" s="44"/>
      <c r="R596" s="45">
        <f t="shared" si="128"/>
        <v>0</v>
      </c>
      <c r="S596" s="46"/>
    </row>
    <row r="597" spans="2:19" ht="15.75" x14ac:dyDescent="0.25">
      <c r="B597" s="38">
        <f>+B596+1</f>
        <v>3</v>
      </c>
      <c r="C597" s="38" t="s">
        <v>859</v>
      </c>
      <c r="D597" s="39" t="s">
        <v>860</v>
      </c>
      <c r="E597" s="40">
        <v>44377</v>
      </c>
      <c r="F597" s="41">
        <v>5</v>
      </c>
      <c r="G597" s="42">
        <v>10</v>
      </c>
      <c r="H597" s="43">
        <f t="shared" si="126"/>
        <v>0.5</v>
      </c>
      <c r="I597" s="41">
        <v>6.9520350000000004</v>
      </c>
      <c r="J597" s="41">
        <v>9.2444729999999993</v>
      </c>
      <c r="K597" s="41">
        <v>8.6893290000000007</v>
      </c>
      <c r="L597" s="41">
        <v>7.5189000000000006E-2</v>
      </c>
      <c r="M597" s="41">
        <v>0.33717399999999997</v>
      </c>
      <c r="N597" s="43">
        <f t="shared" si="127"/>
        <v>9.7779999999999978E-2</v>
      </c>
      <c r="O597" s="41">
        <v>0.239394</v>
      </c>
      <c r="P597" s="44">
        <v>0</v>
      </c>
      <c r="Q597" s="44">
        <v>0</v>
      </c>
      <c r="R597" s="45">
        <f t="shared" si="128"/>
        <v>0</v>
      </c>
      <c r="S597" s="46">
        <v>354</v>
      </c>
    </row>
    <row r="598" spans="2:19" ht="15.75" x14ac:dyDescent="0.25">
      <c r="B598" s="38">
        <f t="shared" ref="B598:B609" si="129">+B597+1</f>
        <v>4</v>
      </c>
      <c r="C598" s="38" t="s">
        <v>861</v>
      </c>
      <c r="D598" s="39" t="s">
        <v>862</v>
      </c>
      <c r="E598" s="40">
        <v>44377</v>
      </c>
      <c r="F598" s="41">
        <v>945</v>
      </c>
      <c r="G598" s="42">
        <v>1</v>
      </c>
      <c r="H598" s="43">
        <f t="shared" si="126"/>
        <v>945</v>
      </c>
      <c r="I598" s="41">
        <v>4063.470793</v>
      </c>
      <c r="J598" s="41">
        <v>5415.9276840000002</v>
      </c>
      <c r="K598" s="41">
        <v>4327.3260659999996</v>
      </c>
      <c r="L598" s="41">
        <v>100.365167</v>
      </c>
      <c r="M598" s="41">
        <v>1107.1434919999999</v>
      </c>
      <c r="N598" s="43">
        <f t="shared" si="127"/>
        <v>92.746806999999876</v>
      </c>
      <c r="O598" s="41">
        <v>1014.396685</v>
      </c>
      <c r="P598" s="44">
        <v>0</v>
      </c>
      <c r="Q598" s="44">
        <v>0</v>
      </c>
      <c r="R598" s="45">
        <f t="shared" si="128"/>
        <v>0</v>
      </c>
      <c r="S598" s="46">
        <v>8502</v>
      </c>
    </row>
    <row r="599" spans="2:19" ht="15.75" x14ac:dyDescent="0.25">
      <c r="B599" s="38">
        <f t="shared" si="129"/>
        <v>5</v>
      </c>
      <c r="C599" s="38" t="s">
        <v>863</v>
      </c>
      <c r="D599" s="39" t="s">
        <v>864</v>
      </c>
      <c r="E599" s="40">
        <v>44377</v>
      </c>
      <c r="F599" s="41">
        <v>1788.5101</v>
      </c>
      <c r="G599" s="42">
        <v>10</v>
      </c>
      <c r="H599" s="43">
        <f t="shared" si="126"/>
        <v>178.85101</v>
      </c>
      <c r="I599" s="41">
        <v>-958.24926000000005</v>
      </c>
      <c r="J599" s="41">
        <v>338.16250100000002</v>
      </c>
      <c r="K599" s="41">
        <v>117.771306</v>
      </c>
      <c r="L599" s="41">
        <v>51.204348000000003</v>
      </c>
      <c r="M599" s="41">
        <v>-111.400638</v>
      </c>
      <c r="N599" s="43">
        <f t="shared" si="127"/>
        <v>3.0756509999999935</v>
      </c>
      <c r="O599" s="41">
        <v>-114.47628899999999</v>
      </c>
      <c r="P599" s="44">
        <v>0</v>
      </c>
      <c r="Q599" s="44">
        <v>0</v>
      </c>
      <c r="R599" s="45">
        <f t="shared" si="128"/>
        <v>0</v>
      </c>
      <c r="S599" s="46">
        <v>3609</v>
      </c>
    </row>
    <row r="600" spans="2:19" ht="15.75" x14ac:dyDescent="0.25">
      <c r="B600" s="38">
        <f t="shared" si="129"/>
        <v>6</v>
      </c>
      <c r="C600" s="38" t="s">
        <v>865</v>
      </c>
      <c r="D600" s="39" t="s">
        <v>866</v>
      </c>
      <c r="E600" s="40">
        <v>44377</v>
      </c>
      <c r="F600" s="41">
        <v>898.36900000000003</v>
      </c>
      <c r="G600" s="42">
        <v>10</v>
      </c>
      <c r="H600" s="43">
        <f t="shared" si="126"/>
        <v>89.8369</v>
      </c>
      <c r="I600" s="41">
        <v>7103.817</v>
      </c>
      <c r="J600" s="41">
        <v>9581.3050000000003</v>
      </c>
      <c r="K600" s="41">
        <v>4947.5590000000002</v>
      </c>
      <c r="L600" s="41">
        <v>58.856000000000002</v>
      </c>
      <c r="M600" s="41">
        <v>261.18299999999999</v>
      </c>
      <c r="N600" s="43">
        <f t="shared" si="127"/>
        <v>69.596000000000004</v>
      </c>
      <c r="O600" s="41">
        <v>191.58699999999999</v>
      </c>
      <c r="P600" s="44">
        <v>0</v>
      </c>
      <c r="Q600" s="44">
        <v>0</v>
      </c>
      <c r="R600" s="45">
        <f t="shared" si="128"/>
        <v>0</v>
      </c>
      <c r="S600" s="46">
        <v>6401</v>
      </c>
    </row>
    <row r="601" spans="2:19" ht="15.75" x14ac:dyDescent="0.25">
      <c r="B601" s="38">
        <f t="shared" si="129"/>
        <v>7</v>
      </c>
      <c r="C601" s="38" t="s">
        <v>867</v>
      </c>
      <c r="D601" s="39" t="s">
        <v>868</v>
      </c>
      <c r="E601" s="40">
        <v>44561</v>
      </c>
      <c r="F601" s="41"/>
      <c r="G601" s="42">
        <v>10</v>
      </c>
      <c r="H601" s="43">
        <f t="shared" si="126"/>
        <v>0</v>
      </c>
      <c r="I601" s="41"/>
      <c r="J601" s="41"/>
      <c r="K601" s="41"/>
      <c r="L601" s="41"/>
      <c r="M601" s="41"/>
      <c r="N601" s="43">
        <f t="shared" si="127"/>
        <v>0</v>
      </c>
      <c r="O601" s="41"/>
      <c r="P601" s="44"/>
      <c r="Q601" s="44"/>
      <c r="R601" s="45">
        <f t="shared" si="128"/>
        <v>0</v>
      </c>
      <c r="S601" s="46"/>
    </row>
    <row r="602" spans="2:19" ht="15.75" x14ac:dyDescent="0.25">
      <c r="B602" s="38">
        <f t="shared" si="129"/>
        <v>8</v>
      </c>
      <c r="C602" s="72" t="s">
        <v>869</v>
      </c>
      <c r="D602" s="39" t="s">
        <v>870</v>
      </c>
      <c r="E602" s="40">
        <v>44377</v>
      </c>
      <c r="F602" s="41">
        <v>107.81100000000001</v>
      </c>
      <c r="G602" s="42">
        <v>10</v>
      </c>
      <c r="H602" s="43">
        <f t="shared" si="126"/>
        <v>10.7811</v>
      </c>
      <c r="I602" s="41">
        <v>837.311644</v>
      </c>
      <c r="J602" s="41">
        <v>1341.6229269999999</v>
      </c>
      <c r="K602" s="41">
        <v>897.20737799999995</v>
      </c>
      <c r="L602" s="41">
        <v>9.7118490000000008</v>
      </c>
      <c r="M602" s="41">
        <v>68.080849000000001</v>
      </c>
      <c r="N602" s="43">
        <f t="shared" si="127"/>
        <v>52.713480000000004</v>
      </c>
      <c r="O602" s="41">
        <v>15.367369</v>
      </c>
      <c r="P602" s="44">
        <v>15</v>
      </c>
      <c r="Q602" s="44">
        <v>10</v>
      </c>
      <c r="R602" s="45">
        <f t="shared" si="128"/>
        <v>25</v>
      </c>
      <c r="S602" s="46">
        <v>2170</v>
      </c>
    </row>
    <row r="603" spans="2:19" ht="15.75" x14ac:dyDescent="0.25">
      <c r="B603" s="38">
        <f t="shared" si="129"/>
        <v>9</v>
      </c>
      <c r="C603" s="72" t="s">
        <v>871</v>
      </c>
      <c r="D603" s="39" t="s">
        <v>872</v>
      </c>
      <c r="E603" s="40">
        <v>44561</v>
      </c>
      <c r="F603" s="41">
        <v>51000</v>
      </c>
      <c r="G603" s="42">
        <v>10</v>
      </c>
      <c r="H603" s="43">
        <f t="shared" si="126"/>
        <v>5100</v>
      </c>
      <c r="I603" s="41"/>
      <c r="J603" s="41"/>
      <c r="K603" s="41"/>
      <c r="L603" s="41"/>
      <c r="M603" s="41">
        <v>9681.6610000000001</v>
      </c>
      <c r="N603" s="43">
        <f t="shared" si="127"/>
        <v>2807.6840000000002</v>
      </c>
      <c r="O603" s="41">
        <v>6873.9769999999999</v>
      </c>
      <c r="P603" s="44">
        <v>0</v>
      </c>
      <c r="Q603" s="44">
        <v>0</v>
      </c>
      <c r="R603" s="45">
        <f t="shared" si="128"/>
        <v>0</v>
      </c>
      <c r="S603" s="46"/>
    </row>
    <row r="604" spans="2:19" ht="15.75" x14ac:dyDescent="0.25">
      <c r="B604" s="38">
        <f t="shared" si="129"/>
        <v>10</v>
      </c>
      <c r="C604" s="72" t="s">
        <v>873</v>
      </c>
      <c r="D604" s="39" t="s">
        <v>874</v>
      </c>
      <c r="E604" s="40">
        <v>44561</v>
      </c>
      <c r="F604" s="41"/>
      <c r="G604" s="42">
        <v>10</v>
      </c>
      <c r="H604" s="43">
        <f t="shared" si="126"/>
        <v>0</v>
      </c>
      <c r="I604" s="41"/>
      <c r="J604" s="41"/>
      <c r="K604" s="41"/>
      <c r="L604" s="41"/>
      <c r="M604" s="41"/>
      <c r="N604" s="43">
        <f t="shared" si="127"/>
        <v>0</v>
      </c>
      <c r="O604" s="41"/>
      <c r="P604" s="44"/>
      <c r="Q604" s="44"/>
      <c r="R604" s="45">
        <f t="shared" si="128"/>
        <v>0</v>
      </c>
      <c r="S604" s="46"/>
    </row>
    <row r="605" spans="2:19" ht="15.75" x14ac:dyDescent="0.25">
      <c r="B605" s="38">
        <f t="shared" si="129"/>
        <v>11</v>
      </c>
      <c r="C605" s="72" t="s">
        <v>875</v>
      </c>
      <c r="D605" s="39" t="s">
        <v>876</v>
      </c>
      <c r="E605" s="40">
        <v>44377</v>
      </c>
      <c r="F605" s="41">
        <v>3000</v>
      </c>
      <c r="G605" s="42">
        <v>10</v>
      </c>
      <c r="H605" s="43">
        <f t="shared" si="126"/>
        <v>300</v>
      </c>
      <c r="I605" s="41">
        <v>2342.2570000000001</v>
      </c>
      <c r="J605" s="41">
        <v>4244.8370000000004</v>
      </c>
      <c r="K605" s="41">
        <v>1213.6600000000001</v>
      </c>
      <c r="L605" s="41">
        <v>70.989000000000004</v>
      </c>
      <c r="M605" s="41">
        <v>360.54700000000003</v>
      </c>
      <c r="N605" s="43">
        <f t="shared" si="127"/>
        <v>87.359000000000037</v>
      </c>
      <c r="O605" s="41">
        <v>273.18799999999999</v>
      </c>
      <c r="P605" s="44">
        <v>0</v>
      </c>
      <c r="Q605" s="44">
        <v>5</v>
      </c>
      <c r="R605" s="45">
        <f t="shared" si="128"/>
        <v>5</v>
      </c>
      <c r="S605" s="46">
        <v>9541</v>
      </c>
    </row>
    <row r="606" spans="2:19" ht="15.75" x14ac:dyDescent="0.25">
      <c r="B606" s="38">
        <f t="shared" si="129"/>
        <v>12</v>
      </c>
      <c r="C606" s="38" t="s">
        <v>877</v>
      </c>
      <c r="D606" s="39" t="s">
        <v>878</v>
      </c>
      <c r="E606" s="40">
        <v>44377</v>
      </c>
      <c r="F606" s="41">
        <v>2672.9776299999999</v>
      </c>
      <c r="G606" s="42">
        <v>10</v>
      </c>
      <c r="H606" s="43">
        <f t="shared" si="126"/>
        <v>267.29776299999997</v>
      </c>
      <c r="I606" s="41">
        <v>7038.5428890000003</v>
      </c>
      <c r="J606" s="41">
        <v>10420.067322000001</v>
      </c>
      <c r="K606" s="41">
        <f>113.961788+31.971901</f>
        <v>145.93368899999999</v>
      </c>
      <c r="L606" s="41">
        <v>206.686938</v>
      </c>
      <c r="M606" s="41">
        <v>-254.620848</v>
      </c>
      <c r="N606" s="43">
        <f t="shared" si="127"/>
        <v>17.094268000000028</v>
      </c>
      <c r="O606" s="41">
        <v>-271.71511600000002</v>
      </c>
      <c r="P606" s="44">
        <v>0</v>
      </c>
      <c r="Q606" s="44">
        <v>0</v>
      </c>
      <c r="R606" s="45">
        <f t="shared" si="128"/>
        <v>0</v>
      </c>
      <c r="S606" s="46">
        <v>3616</v>
      </c>
    </row>
    <row r="607" spans="2:19" ht="15.75" x14ac:dyDescent="0.25">
      <c r="B607" s="38">
        <f t="shared" si="129"/>
        <v>13</v>
      </c>
      <c r="C607" s="72" t="s">
        <v>879</v>
      </c>
      <c r="D607" s="39" t="s">
        <v>880</v>
      </c>
      <c r="E607" s="40">
        <v>44377</v>
      </c>
      <c r="F607" s="41">
        <v>1872.63093</v>
      </c>
      <c r="G607" s="42">
        <v>10</v>
      </c>
      <c r="H607" s="43">
        <f t="shared" si="126"/>
        <v>187.263093</v>
      </c>
      <c r="I607" s="41">
        <v>2278.572392</v>
      </c>
      <c r="J607" s="41">
        <v>7212.4107809999996</v>
      </c>
      <c r="K607" s="41">
        <v>1886.241808</v>
      </c>
      <c r="L607" s="41">
        <v>389.54283600000002</v>
      </c>
      <c r="M607" s="41">
        <v>-86.296709000000007</v>
      </c>
      <c r="N607" s="43">
        <f t="shared" si="127"/>
        <v>33.90558399999999</v>
      </c>
      <c r="O607" s="41">
        <v>-120.202293</v>
      </c>
      <c r="P607" s="44">
        <v>0</v>
      </c>
      <c r="Q607" s="44">
        <v>0</v>
      </c>
      <c r="R607" s="45">
        <f t="shared" si="128"/>
        <v>0</v>
      </c>
      <c r="S607" s="46">
        <v>1244</v>
      </c>
    </row>
    <row r="608" spans="2:19" ht="15.75" x14ac:dyDescent="0.25">
      <c r="B608" s="38">
        <f t="shared" si="129"/>
        <v>14</v>
      </c>
      <c r="C608" s="38" t="s">
        <v>881</v>
      </c>
      <c r="D608" s="39" t="s">
        <v>882</v>
      </c>
      <c r="E608" s="40">
        <v>44377</v>
      </c>
      <c r="F608" s="41">
        <v>5453.9070000000002</v>
      </c>
      <c r="G608" s="42">
        <v>10</v>
      </c>
      <c r="H608" s="43">
        <f t="shared" si="126"/>
        <v>545.39070000000004</v>
      </c>
      <c r="I608" s="41">
        <v>41508.608999999997</v>
      </c>
      <c r="J608" s="41">
        <v>50229.593000000001</v>
      </c>
      <c r="K608" s="41">
        <v>154.44300000000001</v>
      </c>
      <c r="L608" s="41">
        <v>0</v>
      </c>
      <c r="M608" s="41">
        <v>30434.727999999999</v>
      </c>
      <c r="N608" s="43">
        <f t="shared" si="127"/>
        <v>4582.3009999999995</v>
      </c>
      <c r="O608" s="41">
        <v>25852.427</v>
      </c>
      <c r="P608" s="44">
        <f>44</f>
        <v>44</v>
      </c>
      <c r="Q608" s="44">
        <v>0</v>
      </c>
      <c r="R608" s="45">
        <f t="shared" si="128"/>
        <v>44</v>
      </c>
      <c r="S608" s="46">
        <v>12180</v>
      </c>
    </row>
    <row r="609" spans="2:19" ht="15.75" x14ac:dyDescent="0.25">
      <c r="B609" s="38">
        <f t="shared" si="129"/>
        <v>15</v>
      </c>
      <c r="C609" s="72" t="s">
        <v>883</v>
      </c>
      <c r="D609" s="39" t="s">
        <v>884</v>
      </c>
      <c r="E609" s="40">
        <v>44561</v>
      </c>
      <c r="F609" s="41"/>
      <c r="G609" s="42">
        <v>10</v>
      </c>
      <c r="H609" s="43">
        <f t="shared" si="126"/>
        <v>0</v>
      </c>
      <c r="I609" s="41"/>
      <c r="J609" s="41"/>
      <c r="K609" s="41"/>
      <c r="L609" s="41"/>
      <c r="M609" s="41"/>
      <c r="N609" s="43">
        <f t="shared" si="127"/>
        <v>0</v>
      </c>
      <c r="O609" s="41"/>
      <c r="P609" s="44"/>
      <c r="Q609" s="44"/>
      <c r="R609" s="45">
        <f t="shared" si="128"/>
        <v>0</v>
      </c>
      <c r="S609" s="46"/>
    </row>
    <row r="610" spans="2:19" ht="15.75" x14ac:dyDescent="0.25">
      <c r="B610" s="47"/>
      <c r="C610" s="75"/>
      <c r="D610" s="48"/>
      <c r="E610" s="49"/>
      <c r="F610" s="50"/>
      <c r="G610" s="51"/>
      <c r="H610" s="52"/>
      <c r="I610" s="50"/>
      <c r="J610" s="50"/>
      <c r="K610" s="50"/>
      <c r="L610" s="50"/>
      <c r="M610" s="50"/>
      <c r="N610" s="52"/>
      <c r="O610" s="50"/>
      <c r="P610" s="53"/>
      <c r="Q610" s="53"/>
      <c r="R610" s="54"/>
      <c r="S610" s="55"/>
    </row>
    <row r="611" spans="2:19" ht="15.75" x14ac:dyDescent="0.25">
      <c r="B611" s="38">
        <f>COUNT(B595:B610)</f>
        <v>15</v>
      </c>
      <c r="C611" s="38"/>
      <c r="D611" s="60"/>
      <c r="E611" s="40"/>
      <c r="F611" s="60">
        <f>SUM(F595:F610)</f>
        <v>71421.128660000017</v>
      </c>
      <c r="G611" s="61"/>
      <c r="H611" s="62">
        <f t="shared" ref="H611:O611" si="130">SUM(H595:H610)</f>
        <v>7992.6128659999986</v>
      </c>
      <c r="I611" s="60">
        <f t="shared" si="130"/>
        <v>70700.438941</v>
      </c>
      <c r="J611" s="60">
        <f t="shared" si="130"/>
        <v>104541.58567</v>
      </c>
      <c r="K611" s="60">
        <f t="shared" si="130"/>
        <v>61071.633968000002</v>
      </c>
      <c r="L611" s="60">
        <f t="shared" si="130"/>
        <v>1989.6955700000001</v>
      </c>
      <c r="M611" s="60">
        <f t="shared" si="130"/>
        <v>43865.420490999997</v>
      </c>
      <c r="N611" s="63">
        <f t="shared" si="130"/>
        <v>8645.6272599999993</v>
      </c>
      <c r="O611" s="60">
        <f t="shared" si="130"/>
        <v>35219.793231000003</v>
      </c>
      <c r="P611" s="64"/>
      <c r="Q611" s="64"/>
      <c r="R611" s="65"/>
      <c r="S611" s="66">
        <f>SUM(S595:S610)</f>
        <v>47629</v>
      </c>
    </row>
    <row r="612" spans="2:19" ht="15.75" x14ac:dyDescent="0.25">
      <c r="B612" s="32"/>
      <c r="C612" s="32"/>
      <c r="D612" s="32"/>
      <c r="E612" s="33"/>
      <c r="F612" s="32"/>
      <c r="G612" s="51"/>
      <c r="H612" s="57"/>
      <c r="I612" s="35"/>
      <c r="J612" s="35"/>
      <c r="K612" s="35"/>
      <c r="L612" s="35"/>
      <c r="M612" s="35"/>
      <c r="N612" s="58"/>
      <c r="O612" s="35"/>
      <c r="P612" s="35"/>
      <c r="Q612" s="35"/>
      <c r="R612" s="58"/>
      <c r="S612" s="35"/>
    </row>
    <row r="613" spans="2:19" ht="15.75" x14ac:dyDescent="0.25">
      <c r="B613" s="32"/>
      <c r="C613" s="32"/>
      <c r="D613" s="32"/>
      <c r="E613" s="33"/>
      <c r="F613" s="32"/>
      <c r="G613" s="51"/>
      <c r="H613" s="57"/>
      <c r="I613" s="35"/>
      <c r="J613" s="35"/>
      <c r="K613" s="35"/>
      <c r="L613" s="35"/>
      <c r="M613" s="35"/>
      <c r="N613" s="58"/>
      <c r="O613" s="35"/>
      <c r="P613" s="35"/>
      <c r="Q613" s="35"/>
      <c r="R613" s="58"/>
      <c r="S613" s="35"/>
    </row>
    <row r="614" spans="2:19" ht="18.75" x14ac:dyDescent="0.3">
      <c r="B614" s="32"/>
      <c r="C614" s="37">
        <v>27</v>
      </c>
      <c r="D614" s="37" t="s">
        <v>885</v>
      </c>
      <c r="E614" s="73"/>
      <c r="F614" s="74"/>
      <c r="G614" s="51"/>
      <c r="H614" s="57"/>
      <c r="I614" s="35"/>
      <c r="J614" s="35"/>
      <c r="K614" s="35"/>
      <c r="L614" s="35"/>
      <c r="M614" s="35"/>
      <c r="N614" s="58"/>
      <c r="O614" s="35"/>
      <c r="P614" s="35"/>
      <c r="Q614" s="35"/>
      <c r="R614" s="58"/>
      <c r="S614" s="35"/>
    </row>
    <row r="615" spans="2:19" ht="15.75" x14ac:dyDescent="0.25">
      <c r="B615" s="32"/>
      <c r="C615" s="32"/>
      <c r="D615" s="32"/>
      <c r="E615" s="33"/>
      <c r="F615" s="32"/>
      <c r="G615" s="51"/>
      <c r="H615" s="57"/>
      <c r="I615" s="35"/>
      <c r="J615" s="35"/>
      <c r="K615" s="35"/>
      <c r="L615" s="35"/>
      <c r="M615" s="35"/>
      <c r="N615" s="58"/>
      <c r="O615" s="35"/>
      <c r="P615" s="35"/>
      <c r="Q615" s="35"/>
      <c r="R615" s="58"/>
      <c r="S615" s="35"/>
    </row>
    <row r="616" spans="2:19" ht="15.75" x14ac:dyDescent="0.25">
      <c r="B616" s="72">
        <v>1</v>
      </c>
      <c r="C616" s="72" t="s">
        <v>886</v>
      </c>
      <c r="D616" s="39" t="s">
        <v>887</v>
      </c>
      <c r="E616" s="40">
        <v>44377</v>
      </c>
      <c r="F616" s="41">
        <v>4083.75</v>
      </c>
      <c r="G616" s="42">
        <v>10</v>
      </c>
      <c r="H616" s="43">
        <f t="shared" ref="H616:H621" si="131">+F616/G616</f>
        <v>408.375</v>
      </c>
      <c r="I616" s="41">
        <v>21364.538086</v>
      </c>
      <c r="J616" s="41">
        <v>22764.012280999999</v>
      </c>
      <c r="K616" s="41">
        <f>4486.807451+0.9694</f>
        <v>4487.7768509999996</v>
      </c>
      <c r="L616" s="41">
        <v>20.628094000000001</v>
      </c>
      <c r="M616" s="41">
        <v>4296.5398839999998</v>
      </c>
      <c r="N616" s="43">
        <f t="shared" ref="N616:N621" si="132">+M616-O616</f>
        <v>422.475641</v>
      </c>
      <c r="O616" s="41">
        <v>3874.0642429999998</v>
      </c>
      <c r="P616" s="44">
        <v>30</v>
      </c>
      <c r="Q616" s="44">
        <v>0</v>
      </c>
      <c r="R616" s="45">
        <f t="shared" ref="R616:R621" si="133">SUM(P616:Q616)</f>
        <v>30</v>
      </c>
      <c r="S616" s="46">
        <v>3356</v>
      </c>
    </row>
    <row r="617" spans="2:19" ht="15.75" x14ac:dyDescent="0.25">
      <c r="B617" s="72">
        <f>+B616+1</f>
        <v>2</v>
      </c>
      <c r="C617" s="72" t="s">
        <v>888</v>
      </c>
      <c r="D617" s="39" t="s">
        <v>889</v>
      </c>
      <c r="E617" s="40">
        <v>44561</v>
      </c>
      <c r="F617" s="41">
        <v>13352.993</v>
      </c>
      <c r="G617" s="42">
        <v>10</v>
      </c>
      <c r="H617" s="43">
        <f t="shared" si="131"/>
        <v>1335.2993000000001</v>
      </c>
      <c r="I617" s="41">
        <v>45318.235999999997</v>
      </c>
      <c r="J617" s="41">
        <v>128810.777</v>
      </c>
      <c r="K617" s="41">
        <v>90584.876000000004</v>
      </c>
      <c r="L617" s="41">
        <v>1680.49</v>
      </c>
      <c r="M617" s="41">
        <v>27910.328000000001</v>
      </c>
      <c r="N617" s="43">
        <f t="shared" si="132"/>
        <v>6841.3100000000013</v>
      </c>
      <c r="O617" s="41">
        <v>21069.018</v>
      </c>
      <c r="P617" s="44">
        <f>40+40+35+50</f>
        <v>165</v>
      </c>
      <c r="Q617" s="44">
        <v>0</v>
      </c>
      <c r="R617" s="45">
        <f t="shared" si="133"/>
        <v>165</v>
      </c>
      <c r="S617" s="46">
        <v>30552</v>
      </c>
    </row>
    <row r="618" spans="2:19" ht="15.75" x14ac:dyDescent="0.25">
      <c r="B618" s="72">
        <f t="shared" ref="B618:B621" si="134">+B617+1</f>
        <v>3</v>
      </c>
      <c r="C618" s="72" t="s">
        <v>890</v>
      </c>
      <c r="D618" s="39" t="s">
        <v>891</v>
      </c>
      <c r="E618" s="40">
        <v>44561</v>
      </c>
      <c r="F618" s="41">
        <v>5761.6329999999998</v>
      </c>
      <c r="G618" s="42">
        <v>10</v>
      </c>
      <c r="H618" s="43">
        <f t="shared" si="131"/>
        <v>576.16329999999994</v>
      </c>
      <c r="I618" s="41">
        <v>90534.629000000001</v>
      </c>
      <c r="J618" s="41">
        <v>101754.645</v>
      </c>
      <c r="K618" s="41">
        <f>19399.463+1284.441+4747.773</f>
        <v>25431.677</v>
      </c>
      <c r="L618" s="41">
        <v>50.823</v>
      </c>
      <c r="M618" s="41">
        <v>20241.460999999999</v>
      </c>
      <c r="N618" s="43">
        <f t="shared" si="132"/>
        <v>1725.3080000000009</v>
      </c>
      <c r="O618" s="41">
        <v>18516.152999999998</v>
      </c>
      <c r="P618" s="44">
        <f>120+70+50+10</f>
        <v>250</v>
      </c>
      <c r="Q618" s="44">
        <v>0</v>
      </c>
      <c r="R618" s="45">
        <f t="shared" si="133"/>
        <v>250</v>
      </c>
      <c r="S618" s="46">
        <v>15156</v>
      </c>
    </row>
    <row r="619" spans="2:19" ht="15.75" x14ac:dyDescent="0.25">
      <c r="B619" s="72">
        <f t="shared" si="134"/>
        <v>4</v>
      </c>
      <c r="C619" s="72" t="s">
        <v>892</v>
      </c>
      <c r="D619" s="39" t="s">
        <v>893</v>
      </c>
      <c r="E619" s="40">
        <v>44561</v>
      </c>
      <c r="F619" s="41"/>
      <c r="G619" s="42">
        <v>10</v>
      </c>
      <c r="H619" s="43">
        <f t="shared" si="131"/>
        <v>0</v>
      </c>
      <c r="I619" s="41"/>
      <c r="J619" s="41"/>
      <c r="K619" s="41"/>
      <c r="L619" s="41"/>
      <c r="M619" s="41"/>
      <c r="N619" s="43">
        <f t="shared" si="132"/>
        <v>0</v>
      </c>
      <c r="O619" s="41"/>
      <c r="P619" s="44"/>
      <c r="Q619" s="44"/>
      <c r="R619" s="45">
        <f t="shared" si="133"/>
        <v>0</v>
      </c>
      <c r="S619" s="46"/>
    </row>
    <row r="620" spans="2:19" ht="15.75" x14ac:dyDescent="0.25">
      <c r="B620" s="72">
        <f t="shared" si="134"/>
        <v>5</v>
      </c>
      <c r="C620" s="72" t="s">
        <v>894</v>
      </c>
      <c r="D620" s="39" t="s">
        <v>895</v>
      </c>
      <c r="E620" s="40">
        <v>44561</v>
      </c>
      <c r="F620" s="41">
        <v>12912.529</v>
      </c>
      <c r="G620" s="42">
        <v>10</v>
      </c>
      <c r="H620" s="43">
        <f t="shared" si="131"/>
        <v>1291.2529</v>
      </c>
      <c r="I620" s="41">
        <v>20430.745999999999</v>
      </c>
      <c r="J620" s="41">
        <v>115209.592</v>
      </c>
      <c r="K620" s="41">
        <v>110452.174</v>
      </c>
      <c r="L620" s="41">
        <v>2338.107</v>
      </c>
      <c r="M620" s="41">
        <v>11524.803</v>
      </c>
      <c r="N620" s="43">
        <f t="shared" si="132"/>
        <v>5133.8419999999996</v>
      </c>
      <c r="O620" s="41">
        <v>6390.9610000000002</v>
      </c>
      <c r="P620" s="44">
        <v>0</v>
      </c>
      <c r="Q620" s="44">
        <v>0</v>
      </c>
      <c r="R620" s="45">
        <f t="shared" si="133"/>
        <v>0</v>
      </c>
      <c r="S620" s="46">
        <v>14259</v>
      </c>
    </row>
    <row r="621" spans="2:19" ht="15.75" x14ac:dyDescent="0.25">
      <c r="B621" s="72">
        <f t="shared" si="134"/>
        <v>6</v>
      </c>
      <c r="C621" s="72" t="s">
        <v>896</v>
      </c>
      <c r="D621" s="39" t="s">
        <v>897</v>
      </c>
      <c r="E621" s="40">
        <v>44561</v>
      </c>
      <c r="F621" s="41">
        <v>12722.382</v>
      </c>
      <c r="G621" s="42">
        <v>10</v>
      </c>
      <c r="H621" s="43">
        <f t="shared" si="131"/>
        <v>1272.2382</v>
      </c>
      <c r="I621" s="41">
        <v>47514.294000000002</v>
      </c>
      <c r="J621" s="41">
        <v>201006.76500000001</v>
      </c>
      <c r="K621" s="41">
        <v>108650.89</v>
      </c>
      <c r="L621" s="41">
        <v>2292.1149999999998</v>
      </c>
      <c r="M621" s="41">
        <v>30339.141</v>
      </c>
      <c r="N621" s="43">
        <f t="shared" si="132"/>
        <v>8443</v>
      </c>
      <c r="O621" s="41">
        <v>21896.141</v>
      </c>
      <c r="P621" s="44">
        <f>35+26+37.5+46.5</f>
        <v>145</v>
      </c>
      <c r="Q621" s="44">
        <v>0</v>
      </c>
      <c r="R621" s="45">
        <f t="shared" si="133"/>
        <v>145</v>
      </c>
      <c r="S621" s="46">
        <v>15594</v>
      </c>
    </row>
    <row r="622" spans="2:19" ht="15.75" x14ac:dyDescent="0.25">
      <c r="B622" s="32"/>
      <c r="C622" s="32"/>
      <c r="D622" s="32"/>
      <c r="E622" s="33"/>
      <c r="F622" s="32"/>
      <c r="G622" s="51"/>
      <c r="H622" s="57"/>
      <c r="I622" s="35"/>
      <c r="J622" s="35"/>
      <c r="K622" s="35"/>
      <c r="L622" s="35"/>
      <c r="M622" s="35"/>
      <c r="N622" s="58"/>
      <c r="O622" s="35"/>
      <c r="P622" s="35"/>
      <c r="Q622" s="35"/>
      <c r="R622" s="58"/>
      <c r="S622" s="35"/>
    </row>
    <row r="623" spans="2:19" ht="15.75" x14ac:dyDescent="0.25">
      <c r="B623" s="38">
        <f>COUNT(B616:B622)</f>
        <v>6</v>
      </c>
      <c r="C623" s="38"/>
      <c r="D623" s="60"/>
      <c r="E623" s="40"/>
      <c r="F623" s="60">
        <f>SUM(F616:F622)</f>
        <v>48833.287000000004</v>
      </c>
      <c r="G623" s="61"/>
      <c r="H623" s="62">
        <f t="shared" ref="H623:O623" si="135">SUM(H616:H622)</f>
        <v>4883.3287</v>
      </c>
      <c r="I623" s="60">
        <f t="shared" si="135"/>
        <v>225162.44308599998</v>
      </c>
      <c r="J623" s="60">
        <f t="shared" si="135"/>
        <v>569545.79128100001</v>
      </c>
      <c r="K623" s="60">
        <f t="shared" si="135"/>
        <v>339607.393851</v>
      </c>
      <c r="L623" s="60">
        <f t="shared" si="135"/>
        <v>6382.1630939999995</v>
      </c>
      <c r="M623" s="60">
        <f t="shared" si="135"/>
        <v>94312.272884000005</v>
      </c>
      <c r="N623" s="63">
        <f t="shared" si="135"/>
        <v>22565.935641000004</v>
      </c>
      <c r="O623" s="60">
        <f t="shared" si="135"/>
        <v>71746.337243000002</v>
      </c>
      <c r="P623" s="64"/>
      <c r="Q623" s="64"/>
      <c r="R623" s="65"/>
      <c r="S623" s="66">
        <f>SUM(S616:S622)</f>
        <v>78917</v>
      </c>
    </row>
    <row r="624" spans="2:19" ht="15.75" x14ac:dyDescent="0.25">
      <c r="B624" s="32"/>
      <c r="C624" s="32"/>
      <c r="D624" s="32"/>
      <c r="E624" s="33"/>
      <c r="F624" s="32"/>
      <c r="G624" s="51"/>
      <c r="H624" s="57"/>
      <c r="I624" s="35"/>
      <c r="J624" s="35"/>
      <c r="K624" s="35"/>
      <c r="L624" s="35"/>
      <c r="M624" s="35"/>
      <c r="N624" s="58"/>
      <c r="O624" s="35"/>
      <c r="P624" s="35"/>
      <c r="Q624" s="35"/>
      <c r="R624" s="58"/>
      <c r="S624" s="35"/>
    </row>
    <row r="625" spans="2:19" ht="15.75" x14ac:dyDescent="0.25">
      <c r="B625" s="32"/>
      <c r="C625" s="32"/>
      <c r="D625" s="32"/>
      <c r="E625" s="33"/>
      <c r="F625" s="32"/>
      <c r="G625" s="51"/>
      <c r="H625" s="57"/>
      <c r="I625" s="35"/>
      <c r="J625" s="35"/>
      <c r="K625" s="35"/>
      <c r="L625" s="35"/>
      <c r="M625" s="35"/>
      <c r="N625" s="58"/>
      <c r="O625" s="35"/>
      <c r="P625" s="35"/>
      <c r="Q625" s="35"/>
      <c r="R625" s="58"/>
      <c r="S625" s="35"/>
    </row>
    <row r="626" spans="2:19" ht="18.75" x14ac:dyDescent="0.3">
      <c r="B626" s="32"/>
      <c r="C626" s="37">
        <v>28</v>
      </c>
      <c r="D626" s="37" t="s">
        <v>898</v>
      </c>
      <c r="E626" s="73"/>
      <c r="F626" s="74"/>
      <c r="G626" s="51"/>
      <c r="H626" s="57"/>
      <c r="I626" s="35"/>
      <c r="J626" s="35"/>
      <c r="K626" s="35"/>
      <c r="L626" s="35"/>
      <c r="M626" s="35"/>
      <c r="N626" s="58"/>
      <c r="O626" s="35"/>
      <c r="P626" s="35"/>
      <c r="Q626" s="35"/>
      <c r="R626" s="58"/>
      <c r="S626" s="35"/>
    </row>
    <row r="627" spans="2:19" ht="15.75" x14ac:dyDescent="0.25">
      <c r="B627" s="32"/>
      <c r="C627" s="32"/>
      <c r="D627" s="32"/>
      <c r="E627" s="33"/>
      <c r="F627" s="32"/>
      <c r="G627" s="51"/>
      <c r="H627" s="57"/>
      <c r="I627" s="35"/>
      <c r="J627" s="35"/>
      <c r="K627" s="35"/>
      <c r="L627" s="35"/>
      <c r="M627" s="35"/>
      <c r="N627" s="58"/>
      <c r="O627" s="35"/>
      <c r="P627" s="35"/>
      <c r="Q627" s="35"/>
      <c r="R627" s="58"/>
      <c r="S627" s="35"/>
    </row>
    <row r="628" spans="2:19" ht="15.75" x14ac:dyDescent="0.25">
      <c r="B628" s="38">
        <v>1</v>
      </c>
      <c r="C628" s="38" t="s">
        <v>899</v>
      </c>
      <c r="D628" s="39" t="s">
        <v>900</v>
      </c>
      <c r="E628" s="40">
        <v>44561</v>
      </c>
      <c r="F628" s="41">
        <v>979.00300000000004</v>
      </c>
      <c r="G628" s="42">
        <v>10</v>
      </c>
      <c r="H628" s="43">
        <f t="shared" ref="H628:H640" si="136">+F628/G628</f>
        <v>97.900300000000001</v>
      </c>
      <c r="I628" s="41"/>
      <c r="J628" s="41"/>
      <c r="K628" s="41"/>
      <c r="L628" s="41"/>
      <c r="M628" s="41">
        <v>8410.4789999999994</v>
      </c>
      <c r="N628" s="43">
        <f t="shared" ref="N628:N640" si="137">+M628-O628</f>
        <v>2443.4219999999996</v>
      </c>
      <c r="O628" s="41">
        <v>5967.0569999999998</v>
      </c>
      <c r="P628" s="44">
        <f>200+200</f>
        <v>400</v>
      </c>
      <c r="Q628" s="44">
        <v>0</v>
      </c>
      <c r="R628" s="45">
        <f t="shared" ref="R628:R640" si="138">SUM(P628:Q628)</f>
        <v>400</v>
      </c>
      <c r="S628" s="46"/>
    </row>
    <row r="629" spans="2:19" ht="15.75" x14ac:dyDescent="0.25">
      <c r="B629" s="38">
        <f>+B628+1</f>
        <v>2</v>
      </c>
      <c r="C629" s="38" t="s">
        <v>901</v>
      </c>
      <c r="D629" s="39" t="s">
        <v>902</v>
      </c>
      <c r="E629" s="40">
        <v>44561</v>
      </c>
      <c r="F629" s="41"/>
      <c r="G629" s="42">
        <v>10</v>
      </c>
      <c r="H629" s="43">
        <f t="shared" si="136"/>
        <v>0</v>
      </c>
      <c r="I629" s="41"/>
      <c r="J629" s="41"/>
      <c r="K629" s="41"/>
      <c r="L629" s="41"/>
      <c r="M629" s="41"/>
      <c r="N629" s="43">
        <f t="shared" si="137"/>
        <v>0</v>
      </c>
      <c r="O629" s="41"/>
      <c r="P629" s="44"/>
      <c r="Q629" s="44"/>
      <c r="R629" s="45">
        <f t="shared" ref="R629:R630" si="139">SUM(P629:Q629)</f>
        <v>0</v>
      </c>
      <c r="S629" s="46"/>
    </row>
    <row r="630" spans="2:19" ht="15.75" x14ac:dyDescent="0.25">
      <c r="B630" s="38">
        <f t="shared" ref="B630:B640" si="140">+B629+1</f>
        <v>3</v>
      </c>
      <c r="C630" s="38" t="s">
        <v>903</v>
      </c>
      <c r="D630" s="39" t="s">
        <v>904</v>
      </c>
      <c r="E630" s="40">
        <v>44377</v>
      </c>
      <c r="F630" s="41">
        <v>1350</v>
      </c>
      <c r="G630" s="42">
        <v>10</v>
      </c>
      <c r="H630" s="43">
        <f t="shared" si="136"/>
        <v>135</v>
      </c>
      <c r="I630" s="41">
        <v>4366.0451089999997</v>
      </c>
      <c r="J630" s="41">
        <v>6499.1627369999997</v>
      </c>
      <c r="K630" s="41">
        <v>5795.4039970000003</v>
      </c>
      <c r="L630" s="41">
        <v>40.776026000000002</v>
      </c>
      <c r="M630" s="41">
        <v>499.746398</v>
      </c>
      <c r="N630" s="43">
        <f t="shared" si="137"/>
        <v>147.97810299999998</v>
      </c>
      <c r="O630" s="41">
        <v>351.76829500000002</v>
      </c>
      <c r="P630" s="44">
        <v>15</v>
      </c>
      <c r="Q630" s="44">
        <v>10</v>
      </c>
      <c r="R630" s="45">
        <f t="shared" si="139"/>
        <v>25</v>
      </c>
      <c r="S630" s="46">
        <v>8752</v>
      </c>
    </row>
    <row r="631" spans="2:19" ht="15.75" x14ac:dyDescent="0.25">
      <c r="B631" s="38">
        <f t="shared" si="140"/>
        <v>4</v>
      </c>
      <c r="C631" s="38" t="s">
        <v>905</v>
      </c>
      <c r="D631" s="39" t="s">
        <v>906</v>
      </c>
      <c r="E631" s="40">
        <v>44377</v>
      </c>
      <c r="F631" s="41">
        <v>362.24209999999999</v>
      </c>
      <c r="G631" s="42">
        <v>10</v>
      </c>
      <c r="H631" s="43">
        <f t="shared" si="136"/>
        <v>36.224209999999999</v>
      </c>
      <c r="I631" s="41">
        <v>6224.3302469999999</v>
      </c>
      <c r="J631" s="41">
        <v>8611.7787709999993</v>
      </c>
      <c r="K631" s="41">
        <v>7033.6215860000002</v>
      </c>
      <c r="L631" s="41">
        <v>21.739709999999999</v>
      </c>
      <c r="M631" s="41">
        <v>980.86736499999995</v>
      </c>
      <c r="N631" s="43">
        <f t="shared" si="137"/>
        <v>255.63210699999991</v>
      </c>
      <c r="O631" s="41">
        <v>725.23525800000004</v>
      </c>
      <c r="P631" s="44">
        <v>100</v>
      </c>
      <c r="Q631" s="44">
        <v>0</v>
      </c>
      <c r="R631" s="45">
        <f t="shared" si="138"/>
        <v>100</v>
      </c>
      <c r="S631" s="46">
        <v>4388</v>
      </c>
    </row>
    <row r="632" spans="2:19" ht="15.75" x14ac:dyDescent="0.25">
      <c r="B632" s="38">
        <f t="shared" si="140"/>
        <v>5</v>
      </c>
      <c r="C632" s="38" t="s">
        <v>907</v>
      </c>
      <c r="D632" s="39" t="s">
        <v>908</v>
      </c>
      <c r="E632" s="40">
        <v>44561</v>
      </c>
      <c r="F632" s="41">
        <v>3184.67</v>
      </c>
      <c r="G632" s="42">
        <v>10</v>
      </c>
      <c r="H632" s="43">
        <f t="shared" si="136"/>
        <v>318.46699999999998</v>
      </c>
      <c r="I632" s="41"/>
      <c r="J632" s="41"/>
      <c r="K632" s="41"/>
      <c r="L632" s="41"/>
      <c r="M632" s="41">
        <v>7424.45</v>
      </c>
      <c r="N632" s="43">
        <f t="shared" si="137"/>
        <v>2070.0410000000002</v>
      </c>
      <c r="O632" s="41">
        <v>5354.4089999999997</v>
      </c>
      <c r="P632" s="44">
        <v>70</v>
      </c>
      <c r="Q632" s="44">
        <v>0</v>
      </c>
      <c r="R632" s="45">
        <f t="shared" si="138"/>
        <v>70</v>
      </c>
      <c r="S632" s="46"/>
    </row>
    <row r="633" spans="2:19" ht="15.75" x14ac:dyDescent="0.25">
      <c r="B633" s="38">
        <f t="shared" si="140"/>
        <v>6</v>
      </c>
      <c r="C633" s="38" t="s">
        <v>909</v>
      </c>
      <c r="D633" s="39" t="s">
        <v>910</v>
      </c>
      <c r="E633" s="40">
        <v>44561</v>
      </c>
      <c r="F633" s="41">
        <v>1170.5450000000001</v>
      </c>
      <c r="G633" s="42">
        <v>10</v>
      </c>
      <c r="H633" s="43">
        <f t="shared" si="136"/>
        <v>117.0545</v>
      </c>
      <c r="I633" s="41">
        <v>6715.1719999999996</v>
      </c>
      <c r="J633" s="41">
        <v>13866.16</v>
      </c>
      <c r="K633" s="41">
        <v>24163.15</v>
      </c>
      <c r="L633" s="41">
        <v>17.132999999999999</v>
      </c>
      <c r="M633" s="41">
        <v>3016.1039999999998</v>
      </c>
      <c r="N633" s="43">
        <f t="shared" si="137"/>
        <v>881.77</v>
      </c>
      <c r="O633" s="41">
        <v>2134.3339999999998</v>
      </c>
      <c r="P633" s="44">
        <v>0</v>
      </c>
      <c r="Q633" s="44">
        <v>0</v>
      </c>
      <c r="R633" s="45">
        <f t="shared" si="138"/>
        <v>0</v>
      </c>
      <c r="S633" s="46">
        <v>4756</v>
      </c>
    </row>
    <row r="634" spans="2:19" ht="15.75" x14ac:dyDescent="0.25">
      <c r="B634" s="38">
        <f t="shared" si="140"/>
        <v>7</v>
      </c>
      <c r="C634" s="38" t="s">
        <v>911</v>
      </c>
      <c r="D634" s="39" t="s">
        <v>912</v>
      </c>
      <c r="E634" s="40">
        <v>44561</v>
      </c>
      <c r="F634" s="41"/>
      <c r="G634" s="42">
        <v>10</v>
      </c>
      <c r="H634" s="43">
        <f t="shared" si="136"/>
        <v>0</v>
      </c>
      <c r="I634" s="41"/>
      <c r="J634" s="41"/>
      <c r="K634" s="41"/>
      <c r="L634" s="41"/>
      <c r="M634" s="41"/>
      <c r="N634" s="43">
        <f t="shared" si="137"/>
        <v>0</v>
      </c>
      <c r="O634" s="41"/>
      <c r="P634" s="44"/>
      <c r="Q634" s="44"/>
      <c r="R634" s="45">
        <f t="shared" si="138"/>
        <v>0</v>
      </c>
      <c r="S634" s="46"/>
    </row>
    <row r="635" spans="2:19" ht="15.75" x14ac:dyDescent="0.25">
      <c r="B635" s="38">
        <f t="shared" si="140"/>
        <v>8</v>
      </c>
      <c r="C635" s="38" t="s">
        <v>913</v>
      </c>
      <c r="D635" s="39" t="s">
        <v>914</v>
      </c>
      <c r="E635" s="40">
        <v>44377</v>
      </c>
      <c r="F635" s="41">
        <v>540.87699999999995</v>
      </c>
      <c r="G635" s="42">
        <v>10</v>
      </c>
      <c r="H635" s="43">
        <f>+F635/G635</f>
        <v>54.087699999999998</v>
      </c>
      <c r="I635" s="41">
        <v>1614.2950000000001</v>
      </c>
      <c r="J635" s="41">
        <v>2446.6909999999998</v>
      </c>
      <c r="K635" s="41">
        <v>3003.9090000000001</v>
      </c>
      <c r="L635" s="41">
        <v>29.939</v>
      </c>
      <c r="M635" s="41">
        <v>409.14699999999999</v>
      </c>
      <c r="N635" s="43">
        <f>+M635-O635</f>
        <v>108.65899999999999</v>
      </c>
      <c r="O635" s="41">
        <v>300.488</v>
      </c>
      <c r="P635" s="44">
        <v>10</v>
      </c>
      <c r="Q635" s="44">
        <v>20</v>
      </c>
      <c r="R635" s="45">
        <f>SUM(P635:Q635)</f>
        <v>30</v>
      </c>
      <c r="S635" s="46">
        <v>4554</v>
      </c>
    </row>
    <row r="636" spans="2:19" ht="15.75" x14ac:dyDescent="0.25">
      <c r="B636" s="38">
        <f t="shared" si="140"/>
        <v>9</v>
      </c>
      <c r="C636" s="38" t="s">
        <v>915</v>
      </c>
      <c r="D636" s="39" t="s">
        <v>916</v>
      </c>
      <c r="E636" s="40">
        <v>44377</v>
      </c>
      <c r="F636" s="41">
        <v>391.44400000000002</v>
      </c>
      <c r="G636" s="42">
        <v>10</v>
      </c>
      <c r="H636" s="43">
        <f>+F636/G636</f>
        <v>39.144400000000005</v>
      </c>
      <c r="I636" s="41">
        <v>1349.509</v>
      </c>
      <c r="J636" s="41">
        <v>3718.752</v>
      </c>
      <c r="K636" s="41">
        <v>5141.6270000000004</v>
      </c>
      <c r="L636" s="41">
        <v>129.05000000000001</v>
      </c>
      <c r="M636" s="41">
        <v>330.846</v>
      </c>
      <c r="N636" s="43">
        <f>+M636-O636</f>
        <v>73.817999999999984</v>
      </c>
      <c r="O636" s="41">
        <v>257.02800000000002</v>
      </c>
      <c r="P636" s="44">
        <f>19+20</f>
        <v>39</v>
      </c>
      <c r="Q636" s="44">
        <v>0</v>
      </c>
      <c r="R636" s="45">
        <f>SUM(P636:Q636)</f>
        <v>39</v>
      </c>
      <c r="S636" s="46">
        <v>1023</v>
      </c>
    </row>
    <row r="637" spans="2:19" ht="15.75" x14ac:dyDescent="0.25">
      <c r="B637" s="38">
        <f t="shared" si="140"/>
        <v>10</v>
      </c>
      <c r="C637" s="38" t="s">
        <v>917</v>
      </c>
      <c r="D637" s="39" t="s">
        <v>918</v>
      </c>
      <c r="E637" s="40">
        <v>44377</v>
      </c>
      <c r="F637" s="41">
        <v>121</v>
      </c>
      <c r="G637" s="42">
        <v>10</v>
      </c>
      <c r="H637" s="43">
        <f t="shared" si="136"/>
        <v>12.1</v>
      </c>
      <c r="I637" s="41">
        <v>500.97699999999998</v>
      </c>
      <c r="J637" s="41">
        <v>1485.431</v>
      </c>
      <c r="K637" s="41">
        <v>2546.2759999999998</v>
      </c>
      <c r="L637" s="41">
        <v>18.853999999999999</v>
      </c>
      <c r="M637" s="41">
        <v>469.53500000000003</v>
      </c>
      <c r="N637" s="43">
        <f t="shared" si="137"/>
        <v>83.204000000000008</v>
      </c>
      <c r="O637" s="41">
        <v>386.33100000000002</v>
      </c>
      <c r="P637" s="44">
        <v>15</v>
      </c>
      <c r="Q637" s="44">
        <v>0</v>
      </c>
      <c r="R637" s="45">
        <f t="shared" si="138"/>
        <v>15</v>
      </c>
      <c r="S637" s="46">
        <v>833</v>
      </c>
    </row>
    <row r="638" spans="2:19" ht="15.75" x14ac:dyDescent="0.25">
      <c r="B638" s="38">
        <f t="shared" si="140"/>
        <v>11</v>
      </c>
      <c r="C638" s="38" t="s">
        <v>919</v>
      </c>
      <c r="D638" s="39" t="s">
        <v>920</v>
      </c>
      <c r="E638" s="40">
        <v>44561</v>
      </c>
      <c r="F638" s="41"/>
      <c r="G638" s="42">
        <v>10</v>
      </c>
      <c r="H638" s="43">
        <f t="shared" si="136"/>
        <v>0</v>
      </c>
      <c r="I638" s="41"/>
      <c r="J638" s="41"/>
      <c r="K638" s="41"/>
      <c r="L638" s="41"/>
      <c r="M638" s="41"/>
      <c r="N638" s="43">
        <f t="shared" si="137"/>
        <v>0</v>
      </c>
      <c r="O638" s="41"/>
      <c r="P638" s="44"/>
      <c r="Q638" s="44"/>
      <c r="R638" s="45">
        <f t="shared" si="138"/>
        <v>0</v>
      </c>
      <c r="S638" s="46"/>
    </row>
    <row r="639" spans="2:19" ht="15.75" x14ac:dyDescent="0.25">
      <c r="B639" s="38">
        <f t="shared" si="140"/>
        <v>12</v>
      </c>
      <c r="C639" s="38" t="s">
        <v>921</v>
      </c>
      <c r="D639" s="39" t="s">
        <v>922</v>
      </c>
      <c r="E639" s="40">
        <v>44377</v>
      </c>
      <c r="F639" s="41">
        <v>2400.4050000000002</v>
      </c>
      <c r="G639" s="42">
        <v>10</v>
      </c>
      <c r="H639" s="43">
        <f t="shared" si="136"/>
        <v>240.04050000000001</v>
      </c>
      <c r="I639" s="41">
        <v>24487.653999999999</v>
      </c>
      <c r="J639" s="41">
        <v>43925.523000000001</v>
      </c>
      <c r="K639" s="41">
        <v>16569.596000000001</v>
      </c>
      <c r="L639" s="41">
        <v>1322.366</v>
      </c>
      <c r="M639" s="41">
        <v>2734.6689999999999</v>
      </c>
      <c r="N639" s="43">
        <f t="shared" si="137"/>
        <v>611.74499999999989</v>
      </c>
      <c r="O639" s="41">
        <v>2122.924</v>
      </c>
      <c r="P639" s="44">
        <v>20</v>
      </c>
      <c r="Q639" s="44">
        <v>30</v>
      </c>
      <c r="R639" s="45">
        <f t="shared" si="138"/>
        <v>50</v>
      </c>
      <c r="S639" s="46">
        <v>11040</v>
      </c>
    </row>
    <row r="640" spans="2:19" ht="15.75" x14ac:dyDescent="0.25">
      <c r="B640" s="38">
        <f t="shared" si="140"/>
        <v>13</v>
      </c>
      <c r="C640" s="38" t="s">
        <v>923</v>
      </c>
      <c r="D640" s="39" t="s">
        <v>924</v>
      </c>
      <c r="E640" s="40">
        <v>44530</v>
      </c>
      <c r="F640" s="41">
        <v>142.161</v>
      </c>
      <c r="G640" s="42">
        <v>100</v>
      </c>
      <c r="H640" s="43">
        <f t="shared" si="136"/>
        <v>1.42161</v>
      </c>
      <c r="I640" s="41">
        <v>1054.008</v>
      </c>
      <c r="J640" s="41">
        <v>1692.623</v>
      </c>
      <c r="K640" s="41">
        <v>1000.898</v>
      </c>
      <c r="L640" s="41">
        <v>9.5640000000000001</v>
      </c>
      <c r="M640" s="41">
        <v>146.37299999999999</v>
      </c>
      <c r="N640" s="43">
        <f t="shared" si="137"/>
        <v>28.087999999999994</v>
      </c>
      <c r="O640" s="41">
        <v>118.285</v>
      </c>
      <c r="P640" s="44">
        <v>50</v>
      </c>
      <c r="Q640" s="44">
        <v>0</v>
      </c>
      <c r="R640" s="45">
        <f t="shared" si="138"/>
        <v>50</v>
      </c>
      <c r="S640" s="46">
        <v>1103</v>
      </c>
    </row>
    <row r="641" spans="2:19" ht="15.75" x14ac:dyDescent="0.25">
      <c r="B641" s="32"/>
      <c r="C641" s="32"/>
      <c r="D641" s="32"/>
      <c r="E641" s="33"/>
      <c r="F641" s="32"/>
      <c r="G641" s="51"/>
      <c r="H641" s="57"/>
      <c r="I641" s="35"/>
      <c r="J641" s="35"/>
      <c r="K641" s="35"/>
      <c r="L641" s="35"/>
      <c r="M641" s="35"/>
      <c r="N641" s="58"/>
      <c r="O641" s="35"/>
      <c r="P641" s="35"/>
      <c r="Q641" s="35"/>
      <c r="R641" s="58"/>
      <c r="S641" s="35"/>
    </row>
    <row r="642" spans="2:19" ht="15.75" x14ac:dyDescent="0.25">
      <c r="B642" s="38">
        <f>COUNT(B628:B641)</f>
        <v>13</v>
      </c>
      <c r="C642" s="38"/>
      <c r="D642" s="60"/>
      <c r="E642" s="40"/>
      <c r="F642" s="60">
        <f>SUM(F628:F641)</f>
        <v>10642.347100000001</v>
      </c>
      <c r="G642" s="61"/>
      <c r="H642" s="62">
        <f t="shared" ref="H642:O642" si="141">SUM(H628:H641)</f>
        <v>1051.4402200000002</v>
      </c>
      <c r="I642" s="60">
        <f t="shared" si="141"/>
        <v>46311.990355999995</v>
      </c>
      <c r="J642" s="60">
        <f t="shared" si="141"/>
        <v>82246.121507999997</v>
      </c>
      <c r="K642" s="60">
        <f t="shared" si="141"/>
        <v>65254.481583000001</v>
      </c>
      <c r="L642" s="60">
        <f t="shared" si="141"/>
        <v>1589.421736</v>
      </c>
      <c r="M642" s="60">
        <f t="shared" si="141"/>
        <v>24422.216762999997</v>
      </c>
      <c r="N642" s="63">
        <f t="shared" si="141"/>
        <v>6704.3572099999983</v>
      </c>
      <c r="O642" s="60">
        <f t="shared" si="141"/>
        <v>17717.859552999998</v>
      </c>
      <c r="P642" s="64"/>
      <c r="Q642" s="64"/>
      <c r="R642" s="65"/>
      <c r="S642" s="66">
        <f>SUM(S628:S641)</f>
        <v>36449</v>
      </c>
    </row>
    <row r="643" spans="2:19" ht="15.75" x14ac:dyDescent="0.25">
      <c r="B643" s="32"/>
      <c r="C643" s="32"/>
      <c r="D643" s="32"/>
      <c r="E643" s="33"/>
      <c r="F643" s="32"/>
      <c r="G643" s="51"/>
      <c r="H643" s="57"/>
      <c r="I643" s="35"/>
      <c r="J643" s="35"/>
      <c r="K643" s="35"/>
      <c r="L643" s="35"/>
      <c r="M643" s="35"/>
      <c r="N643" s="58"/>
      <c r="O643" s="35"/>
      <c r="P643" s="35"/>
      <c r="Q643" s="35"/>
      <c r="R643" s="58"/>
      <c r="S643" s="35"/>
    </row>
    <row r="644" spans="2:19" ht="15.75" x14ac:dyDescent="0.25">
      <c r="B644" s="32"/>
      <c r="C644" s="32"/>
      <c r="D644" s="32"/>
      <c r="E644" s="33"/>
      <c r="F644" s="32"/>
      <c r="G644" s="51"/>
      <c r="H644" s="57"/>
      <c r="I644" s="35"/>
      <c r="J644" s="35"/>
      <c r="K644" s="35"/>
      <c r="L644" s="35"/>
      <c r="M644" s="35"/>
      <c r="N644" s="58"/>
      <c r="O644" s="35"/>
      <c r="P644" s="35"/>
      <c r="Q644" s="35"/>
      <c r="R644" s="58"/>
      <c r="S644" s="35"/>
    </row>
    <row r="645" spans="2:19" ht="18.75" x14ac:dyDescent="0.3">
      <c r="B645" s="32"/>
      <c r="C645" s="37">
        <v>29</v>
      </c>
      <c r="D645" s="37" t="s">
        <v>925</v>
      </c>
      <c r="E645" s="73"/>
      <c r="F645" s="74"/>
      <c r="G645" s="51"/>
      <c r="H645" s="57"/>
      <c r="I645" s="35"/>
      <c r="J645" s="35"/>
      <c r="K645" s="35"/>
      <c r="L645" s="35"/>
      <c r="M645" s="35"/>
      <c r="N645" s="58"/>
      <c r="O645" s="35"/>
      <c r="P645" s="35"/>
      <c r="Q645" s="35"/>
      <c r="R645" s="58"/>
      <c r="S645" s="35"/>
    </row>
    <row r="646" spans="2:19" ht="15.75" x14ac:dyDescent="0.25">
      <c r="B646" s="32"/>
      <c r="C646" s="32"/>
      <c r="D646" s="32"/>
      <c r="E646" s="33"/>
      <c r="F646" s="32"/>
      <c r="G646" s="51"/>
      <c r="H646" s="57"/>
      <c r="I646" s="35"/>
      <c r="J646" s="35"/>
      <c r="K646" s="35"/>
      <c r="L646" s="35"/>
      <c r="M646" s="35"/>
      <c r="N646" s="58"/>
      <c r="O646" s="35"/>
      <c r="P646" s="35"/>
      <c r="Q646" s="35"/>
      <c r="R646" s="58"/>
      <c r="S646" s="35"/>
    </row>
    <row r="647" spans="2:19" ht="15.75" x14ac:dyDescent="0.25">
      <c r="B647" s="72">
        <v>1</v>
      </c>
      <c r="C647" s="72" t="s">
        <v>926</v>
      </c>
      <c r="D647" s="39" t="s">
        <v>927</v>
      </c>
      <c r="E647" s="40">
        <v>44561</v>
      </c>
      <c r="F647" s="41"/>
      <c r="G647" s="42">
        <v>10</v>
      </c>
      <c r="H647" s="43">
        <f t="shared" ref="H647:H670" si="142">+F647/G647</f>
        <v>0</v>
      </c>
      <c r="I647" s="41"/>
      <c r="J647" s="41"/>
      <c r="K647" s="41"/>
      <c r="L647" s="41"/>
      <c r="M647" s="41"/>
      <c r="N647" s="43">
        <f t="shared" ref="N647:N670" si="143">+M647-O647</f>
        <v>0</v>
      </c>
      <c r="O647" s="41"/>
      <c r="P647" s="44"/>
      <c r="Q647" s="44"/>
      <c r="R647" s="45">
        <f t="shared" ref="R647:R670" si="144">SUM(P647:Q647)</f>
        <v>0</v>
      </c>
      <c r="S647" s="46"/>
    </row>
    <row r="648" spans="2:19" ht="15.75" x14ac:dyDescent="0.25">
      <c r="B648" s="72">
        <f>+B647+1</f>
        <v>2</v>
      </c>
      <c r="C648" s="72" t="s">
        <v>928</v>
      </c>
      <c r="D648" s="39" t="s">
        <v>929</v>
      </c>
      <c r="E648" s="40">
        <v>44469</v>
      </c>
      <c r="F648" s="41">
        <v>341.17899999999997</v>
      </c>
      <c r="G648" s="42">
        <v>10</v>
      </c>
      <c r="H648" s="43">
        <f t="shared" si="142"/>
        <v>34.117899999999999</v>
      </c>
      <c r="I648" s="41">
        <v>5847.5910000000003</v>
      </c>
      <c r="J648" s="41">
        <v>11710.343999999999</v>
      </c>
      <c r="K648" s="41">
        <v>19872.237000000001</v>
      </c>
      <c r="L648" s="41">
        <v>271.661</v>
      </c>
      <c r="M648" s="41">
        <v>3189.3910000000001</v>
      </c>
      <c r="N648" s="43">
        <f t="shared" si="143"/>
        <v>880.02500000000009</v>
      </c>
      <c r="O648" s="41">
        <v>2309.366</v>
      </c>
      <c r="P648" s="44">
        <v>900</v>
      </c>
      <c r="Q648" s="44">
        <v>0</v>
      </c>
      <c r="R648" s="45">
        <f t="shared" si="144"/>
        <v>900</v>
      </c>
      <c r="S648" s="46">
        <v>1704</v>
      </c>
    </row>
    <row r="649" spans="2:19" ht="15.75" x14ac:dyDescent="0.25">
      <c r="B649" s="72">
        <f t="shared" ref="B649:B670" si="145">+B648+1</f>
        <v>3</v>
      </c>
      <c r="C649" s="38" t="s">
        <v>930</v>
      </c>
      <c r="D649" s="39" t="s">
        <v>931</v>
      </c>
      <c r="E649" s="40">
        <v>44377</v>
      </c>
      <c r="F649" s="41">
        <v>204.59700000000001</v>
      </c>
      <c r="G649" s="42">
        <v>10</v>
      </c>
      <c r="H649" s="43">
        <f t="shared" si="142"/>
        <v>20.459700000000002</v>
      </c>
      <c r="I649" s="41">
        <v>2225.373</v>
      </c>
      <c r="J649" s="41">
        <v>5011.6149999999998</v>
      </c>
      <c r="K649" s="41">
        <v>5602.16</v>
      </c>
      <c r="L649" s="41">
        <v>117.758</v>
      </c>
      <c r="M649" s="41">
        <v>267.04599999999999</v>
      </c>
      <c r="N649" s="43">
        <f t="shared" si="143"/>
        <v>71.824999999999989</v>
      </c>
      <c r="O649" s="41">
        <v>195.221</v>
      </c>
      <c r="P649" s="44">
        <v>40</v>
      </c>
      <c r="Q649" s="44">
        <v>0</v>
      </c>
      <c r="R649" s="45">
        <f t="shared" si="144"/>
        <v>40</v>
      </c>
      <c r="S649" s="46"/>
    </row>
    <row r="650" spans="2:19" ht="15.75" x14ac:dyDescent="0.25">
      <c r="B650" s="72">
        <f t="shared" si="145"/>
        <v>4</v>
      </c>
      <c r="C650" s="72" t="s">
        <v>932</v>
      </c>
      <c r="D650" s="39" t="s">
        <v>933</v>
      </c>
      <c r="E650" s="40">
        <v>44377</v>
      </c>
      <c r="F650" s="41">
        <v>383.32799999999997</v>
      </c>
      <c r="G650" s="42">
        <v>10</v>
      </c>
      <c r="H650" s="43">
        <f t="shared" si="142"/>
        <v>38.332799999999999</v>
      </c>
      <c r="I650" s="41">
        <v>1544.2459899999999</v>
      </c>
      <c r="J650" s="41">
        <f>1206.797494+1283.511025</f>
        <v>2490.3085190000002</v>
      </c>
      <c r="K650" s="41">
        <v>1472.7648839999999</v>
      </c>
      <c r="L650" s="41">
        <v>53.806199999999997</v>
      </c>
      <c r="M650" s="41">
        <v>328.62787300000002</v>
      </c>
      <c r="N650" s="43">
        <f t="shared" si="143"/>
        <v>74.588498000000016</v>
      </c>
      <c r="O650" s="41">
        <v>254.03937500000001</v>
      </c>
      <c r="P650" s="44">
        <f>20+20</f>
        <v>40</v>
      </c>
      <c r="Q650" s="44">
        <v>10</v>
      </c>
      <c r="R650" s="45">
        <f t="shared" si="144"/>
        <v>50</v>
      </c>
      <c r="S650" s="46">
        <v>1787</v>
      </c>
    </row>
    <row r="651" spans="2:19" ht="15.75" x14ac:dyDescent="0.25">
      <c r="B651" s="72">
        <f t="shared" si="145"/>
        <v>5</v>
      </c>
      <c r="C651" s="38" t="s">
        <v>934</v>
      </c>
      <c r="D651" s="39" t="s">
        <v>935</v>
      </c>
      <c r="E651" s="40">
        <v>44377</v>
      </c>
      <c r="F651" s="41">
        <v>14.4</v>
      </c>
      <c r="G651" s="42">
        <v>10</v>
      </c>
      <c r="H651" s="43">
        <f t="shared" si="142"/>
        <v>1.44</v>
      </c>
      <c r="I651" s="41">
        <v>134.87100000000001</v>
      </c>
      <c r="J651" s="41">
        <v>399.87700000000001</v>
      </c>
      <c r="K651" s="41">
        <v>354.57299999999998</v>
      </c>
      <c r="L651" s="41">
        <v>7.7560000000000002</v>
      </c>
      <c r="M651" s="41">
        <v>8.0839999999999996</v>
      </c>
      <c r="N651" s="43">
        <f t="shared" si="143"/>
        <v>5.3189999999999991</v>
      </c>
      <c r="O651" s="41">
        <v>2.7650000000000001</v>
      </c>
      <c r="P651" s="44">
        <v>0</v>
      </c>
      <c r="Q651" s="44">
        <v>0</v>
      </c>
      <c r="R651" s="45">
        <f t="shared" si="144"/>
        <v>0</v>
      </c>
      <c r="S651" s="46">
        <v>591</v>
      </c>
    </row>
    <row r="652" spans="2:19" ht="15.75" x14ac:dyDescent="0.25">
      <c r="B652" s="72">
        <f t="shared" si="145"/>
        <v>6</v>
      </c>
      <c r="C652" s="72" t="s">
        <v>936</v>
      </c>
      <c r="D652" s="39" t="s">
        <v>937</v>
      </c>
      <c r="E652" s="40">
        <v>44377</v>
      </c>
      <c r="F652" s="41">
        <v>633.005</v>
      </c>
      <c r="G652" s="42">
        <v>10</v>
      </c>
      <c r="H652" s="43">
        <f t="shared" si="142"/>
        <v>63.3005</v>
      </c>
      <c r="I652" s="41">
        <v>20012.626</v>
      </c>
      <c r="J652" s="41">
        <v>28138.659</v>
      </c>
      <c r="K652" s="41">
        <v>50563.021999999997</v>
      </c>
      <c r="L652" s="41">
        <v>118.175</v>
      </c>
      <c r="M652" s="41">
        <v>7962.6729999999998</v>
      </c>
      <c r="N652" s="43">
        <f t="shared" si="143"/>
        <v>2285.924</v>
      </c>
      <c r="O652" s="41">
        <v>5676.7489999999998</v>
      </c>
      <c r="P652" s="44">
        <f>250+240</f>
        <v>490</v>
      </c>
      <c r="Q652" s="44">
        <v>15</v>
      </c>
      <c r="R652" s="45">
        <f t="shared" si="144"/>
        <v>505</v>
      </c>
      <c r="S652" s="46">
        <v>878</v>
      </c>
    </row>
    <row r="653" spans="2:19" ht="15.75" x14ac:dyDescent="0.25">
      <c r="B653" s="72">
        <f t="shared" si="145"/>
        <v>7</v>
      </c>
      <c r="C653" s="38" t="s">
        <v>938</v>
      </c>
      <c r="D653" s="39" t="s">
        <v>939</v>
      </c>
      <c r="E653" s="40">
        <v>44377</v>
      </c>
      <c r="F653" s="41">
        <v>40</v>
      </c>
      <c r="G653" s="42">
        <v>10</v>
      </c>
      <c r="H653" s="43">
        <f t="shared" si="142"/>
        <v>4</v>
      </c>
      <c r="I653" s="41">
        <v>139.10495800000001</v>
      </c>
      <c r="J653" s="41">
        <v>238.24400199999999</v>
      </c>
      <c r="K653" s="41">
        <v>191.62513999999999</v>
      </c>
      <c r="L653" s="41">
        <v>1.1507339999999999</v>
      </c>
      <c r="M653" s="41">
        <v>12.274338</v>
      </c>
      <c r="N653" s="43">
        <f t="shared" si="143"/>
        <v>4.2310739999999996</v>
      </c>
      <c r="O653" s="41">
        <v>8.0432640000000006</v>
      </c>
      <c r="P653" s="44">
        <v>0</v>
      </c>
      <c r="Q653" s="44">
        <v>0</v>
      </c>
      <c r="R653" s="45">
        <f t="shared" si="144"/>
        <v>0</v>
      </c>
      <c r="S653" s="46">
        <v>2443</v>
      </c>
    </row>
    <row r="654" spans="2:19" ht="15.75" x14ac:dyDescent="0.25">
      <c r="B654" s="72">
        <f t="shared" si="145"/>
        <v>8</v>
      </c>
      <c r="C654" s="72" t="s">
        <v>940</v>
      </c>
      <c r="D654" s="39" t="s">
        <v>941</v>
      </c>
      <c r="E654" s="40">
        <v>44377</v>
      </c>
      <c r="F654" s="41">
        <v>1750.3109999999999</v>
      </c>
      <c r="G654" s="42">
        <v>10</v>
      </c>
      <c r="H654" s="43">
        <f t="shared" si="142"/>
        <v>175.03109999999998</v>
      </c>
      <c r="I654" s="41">
        <v>2063.1289999999999</v>
      </c>
      <c r="J654" s="41">
        <v>3892.6709999999998</v>
      </c>
      <c r="K654" s="41">
        <v>2804.9029999999998</v>
      </c>
      <c r="L654" s="41">
        <v>64.691000000000003</v>
      </c>
      <c r="M654" s="41">
        <v>387.94499999999999</v>
      </c>
      <c r="N654" s="43">
        <f t="shared" si="143"/>
        <v>109.24200000000002</v>
      </c>
      <c r="O654" s="41">
        <v>278.70299999999997</v>
      </c>
      <c r="P654" s="44">
        <v>10</v>
      </c>
      <c r="Q654" s="44">
        <v>0</v>
      </c>
      <c r="R654" s="45">
        <f t="shared" si="144"/>
        <v>10</v>
      </c>
      <c r="S654" s="46">
        <v>5487</v>
      </c>
    </row>
    <row r="655" spans="2:19" ht="15.75" x14ac:dyDescent="0.25">
      <c r="B655" s="72">
        <f t="shared" si="145"/>
        <v>9</v>
      </c>
      <c r="C655" s="72" t="s">
        <v>942</v>
      </c>
      <c r="D655" s="39" t="s">
        <v>943</v>
      </c>
      <c r="E655" s="40">
        <v>44377</v>
      </c>
      <c r="F655" s="41">
        <v>94.362065000000001</v>
      </c>
      <c r="G655" s="42">
        <v>5</v>
      </c>
      <c r="H655" s="43">
        <f t="shared" si="142"/>
        <v>18.872413000000002</v>
      </c>
      <c r="I655" s="41">
        <v>2381.960861</v>
      </c>
      <c r="J655" s="41">
        <v>3407.5900369999999</v>
      </c>
      <c r="K655" s="41">
        <v>6827.2035429999996</v>
      </c>
      <c r="L655" s="41">
        <v>25.343871</v>
      </c>
      <c r="M655" s="41">
        <v>1328.7541880000001</v>
      </c>
      <c r="N655" s="43">
        <f t="shared" si="143"/>
        <v>390.1456280000001</v>
      </c>
      <c r="O655" s="41">
        <v>938.60856000000001</v>
      </c>
      <c r="P655" s="44">
        <f>50+100</f>
        <v>150</v>
      </c>
      <c r="Q655" s="44">
        <v>0</v>
      </c>
      <c r="R655" s="45">
        <f t="shared" si="144"/>
        <v>150</v>
      </c>
      <c r="S655" s="46">
        <v>1524</v>
      </c>
    </row>
    <row r="656" spans="2:19" ht="15.75" x14ac:dyDescent="0.25">
      <c r="B656" s="72">
        <f t="shared" si="145"/>
        <v>10</v>
      </c>
      <c r="C656" s="72" t="s">
        <v>944</v>
      </c>
      <c r="D656" s="39" t="s">
        <v>945</v>
      </c>
      <c r="E656" s="40">
        <v>44561</v>
      </c>
      <c r="F656" s="41">
        <v>9089.2330000000002</v>
      </c>
      <c r="G656" s="42">
        <v>10</v>
      </c>
      <c r="H656" s="43">
        <f t="shared" si="142"/>
        <v>908.92330000000004</v>
      </c>
      <c r="I656" s="41">
        <v>29959.089</v>
      </c>
      <c r="J656" s="41">
        <v>77821.603000000003</v>
      </c>
      <c r="K656" s="41">
        <v>70019.593999999997</v>
      </c>
      <c r="L656" s="41">
        <v>1901.9390000000001</v>
      </c>
      <c r="M656" s="41">
        <v>20028.341</v>
      </c>
      <c r="N656" s="43">
        <f t="shared" si="143"/>
        <v>4925.7299999999996</v>
      </c>
      <c r="O656" s="41">
        <v>15102.611000000001</v>
      </c>
      <c r="P656" s="44">
        <f>8+70+30+55</f>
        <v>163</v>
      </c>
      <c r="Q656" s="44">
        <v>0</v>
      </c>
      <c r="R656" s="45">
        <f t="shared" si="144"/>
        <v>163</v>
      </c>
      <c r="S656" s="46">
        <v>14207</v>
      </c>
    </row>
    <row r="657" spans="2:19" ht="15.75" x14ac:dyDescent="0.25">
      <c r="B657" s="72"/>
      <c r="C657" s="72" t="s">
        <v>946</v>
      </c>
      <c r="D657" s="39" t="s">
        <v>947</v>
      </c>
      <c r="E657" s="40">
        <v>44561</v>
      </c>
      <c r="F657" s="41">
        <v>3000</v>
      </c>
      <c r="G657" s="42">
        <v>10</v>
      </c>
      <c r="H657" s="43">
        <f t="shared" si="142"/>
        <v>300</v>
      </c>
      <c r="I657" s="41"/>
      <c r="J657" s="41"/>
      <c r="K657" s="41"/>
      <c r="L657" s="41"/>
      <c r="M657" s="41"/>
      <c r="N657" s="43">
        <f t="shared" si="143"/>
        <v>0</v>
      </c>
      <c r="O657" s="41"/>
      <c r="P657" s="44">
        <f>2.7+2.7+3+2.7</f>
        <v>11.100000000000001</v>
      </c>
      <c r="Q657" s="44"/>
      <c r="R657" s="45">
        <f t="shared" ref="R657" si="146">SUM(P657:Q657)</f>
        <v>11.100000000000001</v>
      </c>
      <c r="S657" s="46"/>
    </row>
    <row r="658" spans="2:19" ht="15.75" x14ac:dyDescent="0.25">
      <c r="B658" s="72">
        <f>+B656+1</f>
        <v>11</v>
      </c>
      <c r="C658" s="72" t="s">
        <v>948</v>
      </c>
      <c r="D658" s="39" t="s">
        <v>949</v>
      </c>
      <c r="E658" s="40">
        <v>44377</v>
      </c>
      <c r="F658" s="41">
        <v>157.548</v>
      </c>
      <c r="G658" s="42">
        <v>10</v>
      </c>
      <c r="H658" s="43">
        <f>+F658/G658</f>
        <v>15.754799999999999</v>
      </c>
      <c r="I658" s="41">
        <v>-234.32729599999999</v>
      </c>
      <c r="J658" s="41">
        <v>16.831030999999999</v>
      </c>
      <c r="K658" s="41">
        <v>0</v>
      </c>
      <c r="L658" s="41">
        <v>0</v>
      </c>
      <c r="M658" s="41">
        <v>-31.125834000000001</v>
      </c>
      <c r="N658" s="43">
        <f>+M658-O658</f>
        <v>0</v>
      </c>
      <c r="O658" s="41">
        <v>-31.125834000000001</v>
      </c>
      <c r="P658" s="44">
        <v>0</v>
      </c>
      <c r="Q658" s="44">
        <v>0</v>
      </c>
      <c r="R658" s="45">
        <f>SUM(P658:Q658)</f>
        <v>0</v>
      </c>
      <c r="S658" s="46">
        <v>3503</v>
      </c>
    </row>
    <row r="659" spans="2:19" ht="15.75" x14ac:dyDescent="0.25">
      <c r="B659" s="72">
        <f>+B658+1</f>
        <v>12</v>
      </c>
      <c r="C659" s="72" t="s">
        <v>950</v>
      </c>
      <c r="D659" s="39" t="s">
        <v>951</v>
      </c>
      <c r="E659" s="40">
        <v>44377</v>
      </c>
      <c r="F659" s="41">
        <v>2799.3649999999998</v>
      </c>
      <c r="G659" s="42">
        <v>10</v>
      </c>
      <c r="H659" s="43">
        <f t="shared" si="142"/>
        <v>279.93649999999997</v>
      </c>
      <c r="I659" s="41">
        <v>3760.2249999999999</v>
      </c>
      <c r="J659" s="41">
        <v>3776.4659999999999</v>
      </c>
      <c r="K659" s="41">
        <v>6.9729999999999999</v>
      </c>
      <c r="L659" s="41">
        <v>0</v>
      </c>
      <c r="M659" s="41">
        <v>-25.039000000000001</v>
      </c>
      <c r="N659" s="43">
        <f t="shared" si="143"/>
        <v>6.7059999999999995</v>
      </c>
      <c r="O659" s="41">
        <v>-31.745000000000001</v>
      </c>
      <c r="P659" s="44">
        <v>0</v>
      </c>
      <c r="Q659" s="44">
        <f>10+15</f>
        <v>25</v>
      </c>
      <c r="R659" s="45">
        <f t="shared" si="144"/>
        <v>25</v>
      </c>
      <c r="S659" s="46">
        <v>3619</v>
      </c>
    </row>
    <row r="660" spans="2:19" ht="15.75" x14ac:dyDescent="0.25">
      <c r="B660" s="72">
        <f t="shared" si="145"/>
        <v>13</v>
      </c>
      <c r="C660" s="72" t="s">
        <v>952</v>
      </c>
      <c r="D660" s="39" t="s">
        <v>953</v>
      </c>
      <c r="E660" s="40">
        <v>44377</v>
      </c>
      <c r="F660" s="41">
        <v>923.59100000000001</v>
      </c>
      <c r="G660" s="42">
        <v>10</v>
      </c>
      <c r="H660" s="43">
        <f t="shared" si="142"/>
        <v>92.359099999999998</v>
      </c>
      <c r="I660" s="41">
        <v>23879.207999999999</v>
      </c>
      <c r="J660" s="41">
        <v>43803.565000000002</v>
      </c>
      <c r="K660" s="41">
        <v>62617.966</v>
      </c>
      <c r="L660" s="41">
        <v>593.66099999999994</v>
      </c>
      <c r="M660" s="41">
        <v>8228.8019999999997</v>
      </c>
      <c r="N660" s="43">
        <f t="shared" si="143"/>
        <v>2269.3559999999998</v>
      </c>
      <c r="O660" s="41">
        <v>5959.4459999999999</v>
      </c>
      <c r="P660" s="44">
        <f>200+200</f>
        <v>400</v>
      </c>
      <c r="Q660" s="44">
        <v>0</v>
      </c>
      <c r="R660" s="45">
        <f t="shared" si="144"/>
        <v>400</v>
      </c>
      <c r="S660" s="46">
        <v>9569</v>
      </c>
    </row>
    <row r="661" spans="2:19" ht="15.75" x14ac:dyDescent="0.25">
      <c r="B661" s="72">
        <f t="shared" si="145"/>
        <v>14</v>
      </c>
      <c r="C661" s="72" t="s">
        <v>954</v>
      </c>
      <c r="D661" s="39" t="s">
        <v>955</v>
      </c>
      <c r="E661" s="40">
        <v>44377</v>
      </c>
      <c r="F661" s="41">
        <v>847</v>
      </c>
      <c r="G661" s="42">
        <v>10</v>
      </c>
      <c r="H661" s="43">
        <f t="shared" si="142"/>
        <v>84.7</v>
      </c>
      <c r="I661" s="41">
        <v>4874.3940000000002</v>
      </c>
      <c r="J661" s="41">
        <v>10546.625</v>
      </c>
      <c r="K661" s="41">
        <v>11123.793</v>
      </c>
      <c r="L661" s="41">
        <v>225.39500000000001</v>
      </c>
      <c r="M661" s="41">
        <v>980.11</v>
      </c>
      <c r="N661" s="43">
        <f t="shared" si="143"/>
        <v>323.34299999999996</v>
      </c>
      <c r="O661" s="41">
        <v>656.76700000000005</v>
      </c>
      <c r="P661" s="44">
        <f>20</f>
        <v>20</v>
      </c>
      <c r="Q661" s="44">
        <v>0</v>
      </c>
      <c r="R661" s="45">
        <f t="shared" si="144"/>
        <v>20</v>
      </c>
      <c r="S661" s="46">
        <v>1420</v>
      </c>
    </row>
    <row r="662" spans="2:19" ht="15.75" x14ac:dyDescent="0.25">
      <c r="B662" s="72">
        <f t="shared" si="145"/>
        <v>15</v>
      </c>
      <c r="C662" s="72" t="s">
        <v>956</v>
      </c>
      <c r="D662" s="39" t="s">
        <v>957</v>
      </c>
      <c r="E662" s="40">
        <v>44561</v>
      </c>
      <c r="F662" s="41">
        <v>15142.087</v>
      </c>
      <c r="G662" s="42">
        <v>10</v>
      </c>
      <c r="H662" s="43">
        <f t="shared" si="142"/>
        <v>1514.2086999999999</v>
      </c>
      <c r="I662" s="41"/>
      <c r="J662" s="41"/>
      <c r="K662" s="41"/>
      <c r="L662" s="41"/>
      <c r="M662" s="41">
        <v>6499.0069999999996</v>
      </c>
      <c r="N662" s="43">
        <f t="shared" si="143"/>
        <v>1856.0969999999998</v>
      </c>
      <c r="O662" s="41">
        <v>4642.91</v>
      </c>
      <c r="P662" s="44">
        <f>15</f>
        <v>15</v>
      </c>
      <c r="Q662" s="44">
        <v>0</v>
      </c>
      <c r="R662" s="45">
        <f t="shared" si="144"/>
        <v>15</v>
      </c>
      <c r="S662" s="46"/>
    </row>
    <row r="663" spans="2:19" ht="15.75" x14ac:dyDescent="0.25">
      <c r="B663" s="72">
        <f t="shared" si="145"/>
        <v>16</v>
      </c>
      <c r="C663" s="72" t="s">
        <v>958</v>
      </c>
      <c r="D663" s="39" t="s">
        <v>959</v>
      </c>
      <c r="E663" s="40">
        <v>44377</v>
      </c>
      <c r="F663" s="41">
        <v>75</v>
      </c>
      <c r="G663" s="42">
        <v>10</v>
      </c>
      <c r="H663" s="43">
        <f t="shared" si="142"/>
        <v>7.5</v>
      </c>
      <c r="I663" s="41">
        <v>412.99400000000003</v>
      </c>
      <c r="J663" s="41">
        <v>1145.211</v>
      </c>
      <c r="K663" s="41">
        <v>941.51499999999999</v>
      </c>
      <c r="L663" s="41">
        <v>26.417999999999999</v>
      </c>
      <c r="M663" s="41">
        <v>18.248000000000001</v>
      </c>
      <c r="N663" s="43">
        <f t="shared" si="143"/>
        <v>13.244000000000002</v>
      </c>
      <c r="O663" s="41">
        <v>5.0039999999999996</v>
      </c>
      <c r="P663" s="44">
        <v>0</v>
      </c>
      <c r="Q663" s="44">
        <v>0</v>
      </c>
      <c r="R663" s="45">
        <f t="shared" si="144"/>
        <v>0</v>
      </c>
      <c r="S663" s="46">
        <v>569</v>
      </c>
    </row>
    <row r="664" spans="2:19" ht="15.75" x14ac:dyDescent="0.25">
      <c r="B664" s="72">
        <f t="shared" si="145"/>
        <v>17</v>
      </c>
      <c r="C664" s="72" t="s">
        <v>960</v>
      </c>
      <c r="D664" s="39" t="s">
        <v>961</v>
      </c>
      <c r="E664" s="40">
        <v>44377</v>
      </c>
      <c r="F664" s="41">
        <v>1105.9054599999999</v>
      </c>
      <c r="G664" s="42">
        <v>10</v>
      </c>
      <c r="H664" s="43">
        <f t="shared" si="142"/>
        <v>110.59054599999999</v>
      </c>
      <c r="I664" s="41">
        <v>4924.0263999999997</v>
      </c>
      <c r="J664" s="41">
        <v>16268.986203</v>
      </c>
      <c r="K664" s="41">
        <v>23093.743627</v>
      </c>
      <c r="L664" s="41">
        <v>464.00221699999997</v>
      </c>
      <c r="M664" s="41">
        <v>2396.667273</v>
      </c>
      <c r="N664" s="43">
        <f t="shared" si="143"/>
        <v>702.23798099999999</v>
      </c>
      <c r="O664" s="41">
        <v>1694.429292</v>
      </c>
      <c r="P664" s="44">
        <f>20+20</f>
        <v>40</v>
      </c>
      <c r="Q664" s="44">
        <v>0</v>
      </c>
      <c r="R664" s="45">
        <f t="shared" si="144"/>
        <v>40</v>
      </c>
      <c r="S664" s="46">
        <v>1865</v>
      </c>
    </row>
    <row r="665" spans="2:19" ht="15.75" x14ac:dyDescent="0.25">
      <c r="B665" s="72">
        <f t="shared" si="145"/>
        <v>18</v>
      </c>
      <c r="C665" s="72" t="s">
        <v>962</v>
      </c>
      <c r="D665" s="39" t="s">
        <v>963</v>
      </c>
      <c r="E665" s="40">
        <v>44377</v>
      </c>
      <c r="F665" s="41">
        <v>1413.21064</v>
      </c>
      <c r="G665" s="42">
        <v>5</v>
      </c>
      <c r="H665" s="43">
        <f t="shared" si="142"/>
        <v>282.64212800000001</v>
      </c>
      <c r="I665" s="41">
        <v>2069.7663600000001</v>
      </c>
      <c r="J665" s="41">
        <v>4303.3319600000004</v>
      </c>
      <c r="K665" s="41">
        <v>6277.7030009999999</v>
      </c>
      <c r="L665" s="41">
        <v>112.70052699999999</v>
      </c>
      <c r="M665" s="41">
        <v>502.21870200000001</v>
      </c>
      <c r="N665" s="43">
        <f t="shared" si="143"/>
        <v>143.47206900000003</v>
      </c>
      <c r="O665" s="41">
        <v>358.74663299999997</v>
      </c>
      <c r="P665" s="44">
        <v>0</v>
      </c>
      <c r="Q665" s="44">
        <v>0</v>
      </c>
      <c r="R665" s="45">
        <f t="shared" si="144"/>
        <v>0</v>
      </c>
      <c r="S665" s="46">
        <v>5017</v>
      </c>
    </row>
    <row r="666" spans="2:19" ht="15.75" x14ac:dyDescent="0.25">
      <c r="B666" s="72">
        <f t="shared" si="145"/>
        <v>19</v>
      </c>
      <c r="C666" s="72" t="s">
        <v>964</v>
      </c>
      <c r="D666" s="39" t="s">
        <v>965</v>
      </c>
      <c r="E666" s="40">
        <v>44561</v>
      </c>
      <c r="F666" s="41">
        <v>468.72</v>
      </c>
      <c r="G666" s="42">
        <v>10</v>
      </c>
      <c r="H666" s="43">
        <f t="shared" si="142"/>
        <v>46.872</v>
      </c>
      <c r="I666" s="41"/>
      <c r="J666" s="41"/>
      <c r="K666" s="41"/>
      <c r="L666" s="41"/>
      <c r="M666" s="41">
        <v>633.505</v>
      </c>
      <c r="N666" s="43">
        <f t="shared" si="143"/>
        <v>182.40100000000001</v>
      </c>
      <c r="O666" s="41">
        <v>451.10399999999998</v>
      </c>
      <c r="P666" s="44">
        <v>0</v>
      </c>
      <c r="Q666" s="44">
        <v>25</v>
      </c>
      <c r="R666" s="45">
        <f t="shared" si="144"/>
        <v>25</v>
      </c>
      <c r="S666" s="46"/>
    </row>
    <row r="667" spans="2:19" ht="15.75" x14ac:dyDescent="0.25">
      <c r="B667" s="72">
        <f t="shared" si="145"/>
        <v>20</v>
      </c>
      <c r="C667" s="72" t="s">
        <v>966</v>
      </c>
      <c r="D667" s="39" t="s">
        <v>967</v>
      </c>
      <c r="E667" s="40">
        <v>44377</v>
      </c>
      <c r="F667" s="41">
        <v>60</v>
      </c>
      <c r="G667" s="42">
        <v>10</v>
      </c>
      <c r="H667" s="43">
        <f t="shared" si="142"/>
        <v>6</v>
      </c>
      <c r="I667" s="41">
        <v>201.45417399999999</v>
      </c>
      <c r="J667" s="41">
        <v>242.05122499999999</v>
      </c>
      <c r="K667" s="41">
        <v>340.49470100000002</v>
      </c>
      <c r="L667" s="41">
        <v>3.300522</v>
      </c>
      <c r="M667" s="41">
        <v>53.986241999999997</v>
      </c>
      <c r="N667" s="43">
        <f t="shared" si="143"/>
        <v>15.116166</v>
      </c>
      <c r="O667" s="41">
        <v>38.870075999999997</v>
      </c>
      <c r="P667" s="44">
        <v>10</v>
      </c>
      <c r="Q667" s="44">
        <v>0</v>
      </c>
      <c r="R667" s="45">
        <f t="shared" si="144"/>
        <v>10</v>
      </c>
      <c r="S667" s="46">
        <v>1715</v>
      </c>
    </row>
    <row r="668" spans="2:19" ht="15.75" x14ac:dyDescent="0.25">
      <c r="B668" s="72">
        <f t="shared" si="145"/>
        <v>21</v>
      </c>
      <c r="C668" s="72" t="s">
        <v>968</v>
      </c>
      <c r="D668" s="39" t="s">
        <v>969</v>
      </c>
      <c r="E668" s="40">
        <v>44377</v>
      </c>
      <c r="F668" s="41">
        <v>214.29407</v>
      </c>
      <c r="G668" s="42">
        <v>10</v>
      </c>
      <c r="H668" s="43">
        <f t="shared" si="142"/>
        <v>21.429407000000001</v>
      </c>
      <c r="I668" s="41">
        <v>15881.864577</v>
      </c>
      <c r="J668" s="41">
        <v>30540.028642000001</v>
      </c>
      <c r="K668" s="41">
        <v>14784.537421000001</v>
      </c>
      <c r="L668" s="41">
        <v>604.30661799999996</v>
      </c>
      <c r="M668" s="41">
        <v>1669.7963850000001</v>
      </c>
      <c r="N668" s="43">
        <f t="shared" si="143"/>
        <v>322.10648400000014</v>
      </c>
      <c r="O668" s="41">
        <v>1347.689901</v>
      </c>
      <c r="P668" s="44">
        <v>100</v>
      </c>
      <c r="Q668" s="44">
        <v>0</v>
      </c>
      <c r="R668" s="45">
        <f t="shared" si="144"/>
        <v>100</v>
      </c>
      <c r="S668" s="46">
        <v>1850</v>
      </c>
    </row>
    <row r="669" spans="2:19" ht="15.75" x14ac:dyDescent="0.25">
      <c r="B669" s="72">
        <f t="shared" si="145"/>
        <v>22</v>
      </c>
      <c r="C669" s="72" t="s">
        <v>970</v>
      </c>
      <c r="D669" s="39" t="s">
        <v>971</v>
      </c>
      <c r="E669" s="40">
        <v>44377</v>
      </c>
      <c r="F669" s="41">
        <v>551</v>
      </c>
      <c r="G669" s="42">
        <v>10</v>
      </c>
      <c r="H669" s="43">
        <f t="shared" si="142"/>
        <v>55.1</v>
      </c>
      <c r="I669" s="41">
        <v>2473.7694259999998</v>
      </c>
      <c r="J669" s="41">
        <v>4092.7411940000002</v>
      </c>
      <c r="K669" s="41">
        <v>1865.396616</v>
      </c>
      <c r="L669" s="41">
        <v>48.502296000000001</v>
      </c>
      <c r="M669" s="41">
        <v>13.652939</v>
      </c>
      <c r="N669" s="43">
        <f t="shared" si="143"/>
        <v>-21.055400000000002</v>
      </c>
      <c r="O669" s="41">
        <v>34.708339000000002</v>
      </c>
      <c r="P669" s="44">
        <v>0</v>
      </c>
      <c r="Q669" s="44">
        <v>0</v>
      </c>
      <c r="R669" s="45">
        <f t="shared" si="144"/>
        <v>0</v>
      </c>
      <c r="S669" s="46">
        <v>7087</v>
      </c>
    </row>
    <row r="670" spans="2:19" ht="15.75" x14ac:dyDescent="0.25">
      <c r="B670" s="72">
        <f t="shared" si="145"/>
        <v>23</v>
      </c>
      <c r="C670" s="72" t="s">
        <v>972</v>
      </c>
      <c r="D670" s="39" t="s">
        <v>973</v>
      </c>
      <c r="E670" s="40">
        <v>44377</v>
      </c>
      <c r="F670" s="41">
        <v>90</v>
      </c>
      <c r="G670" s="42">
        <v>10</v>
      </c>
      <c r="H670" s="43">
        <f t="shared" si="142"/>
        <v>9</v>
      </c>
      <c r="I670" s="41">
        <v>1282.449188</v>
      </c>
      <c r="J670" s="41">
        <v>2235.106464</v>
      </c>
      <c r="K670" s="41">
        <v>2723.8232469999998</v>
      </c>
      <c r="L670" s="41">
        <v>31.020325</v>
      </c>
      <c r="M670" s="41">
        <v>470.85333600000001</v>
      </c>
      <c r="N670" s="43">
        <f t="shared" si="143"/>
        <v>136.444208</v>
      </c>
      <c r="O670" s="41">
        <v>334.40912800000001</v>
      </c>
      <c r="P670" s="44">
        <v>100</v>
      </c>
      <c r="Q670" s="44">
        <v>0</v>
      </c>
      <c r="R670" s="45">
        <f t="shared" si="144"/>
        <v>100</v>
      </c>
      <c r="S670" s="46">
        <v>833</v>
      </c>
    </row>
    <row r="671" spans="2:19" ht="15.75" x14ac:dyDescent="0.25">
      <c r="B671" s="75"/>
      <c r="C671" s="75"/>
      <c r="D671" s="48"/>
      <c r="E671" s="49"/>
      <c r="F671" s="50"/>
      <c r="G671" s="51"/>
      <c r="H671" s="52"/>
      <c r="I671" s="50"/>
      <c r="J671" s="50"/>
      <c r="K671" s="50"/>
      <c r="L671" s="50"/>
      <c r="M671" s="50"/>
      <c r="N671" s="52"/>
      <c r="O671" s="50"/>
      <c r="P671" s="53"/>
      <c r="Q671" s="53"/>
      <c r="R671" s="54"/>
      <c r="S671" s="55"/>
    </row>
    <row r="672" spans="2:19" ht="18.75" x14ac:dyDescent="0.3">
      <c r="B672" s="32"/>
      <c r="C672" s="32"/>
      <c r="D672" s="68" t="s">
        <v>41</v>
      </c>
      <c r="E672" s="33"/>
      <c r="F672" s="32"/>
      <c r="G672" s="51"/>
      <c r="H672" s="57"/>
      <c r="I672" s="35"/>
      <c r="J672" s="35"/>
      <c r="K672" s="35"/>
      <c r="L672" s="35"/>
      <c r="M672" s="35"/>
      <c r="N672" s="58"/>
      <c r="O672" s="35"/>
      <c r="P672" s="35"/>
      <c r="Q672" s="35"/>
      <c r="R672" s="58"/>
      <c r="S672" s="35"/>
    </row>
    <row r="673" spans="2:19" ht="15.75" x14ac:dyDescent="0.25">
      <c r="B673" s="72">
        <v>1</v>
      </c>
      <c r="C673" s="72" t="s">
        <v>974</v>
      </c>
      <c r="D673" s="39" t="s">
        <v>975</v>
      </c>
      <c r="E673" s="40">
        <v>44377</v>
      </c>
      <c r="F673" s="41"/>
      <c r="G673" s="42">
        <v>10</v>
      </c>
      <c r="H673" s="43">
        <f>+F673/G673</f>
        <v>0</v>
      </c>
      <c r="I673" s="41"/>
      <c r="J673" s="41"/>
      <c r="K673" s="41"/>
      <c r="L673" s="41"/>
      <c r="M673" s="41"/>
      <c r="N673" s="43">
        <f>+M673-O673</f>
        <v>0</v>
      </c>
      <c r="O673" s="41"/>
      <c r="P673" s="44"/>
      <c r="Q673" s="44"/>
      <c r="R673" s="45">
        <f>SUM(P673:Q673)</f>
        <v>0</v>
      </c>
      <c r="S673" s="46"/>
    </row>
    <row r="674" spans="2:19" ht="15.75" x14ac:dyDescent="0.25">
      <c r="B674" s="72">
        <f>+B673+1</f>
        <v>2</v>
      </c>
      <c r="C674" s="72" t="s">
        <v>976</v>
      </c>
      <c r="D674" s="39" t="s">
        <v>977</v>
      </c>
      <c r="E674" s="40">
        <v>44377</v>
      </c>
      <c r="F674" s="41">
        <v>149.58000000000001</v>
      </c>
      <c r="G674" s="42">
        <v>10</v>
      </c>
      <c r="H674" s="43">
        <f>+F674/G674</f>
        <v>14.958000000000002</v>
      </c>
      <c r="I674" s="41">
        <v>-199.59056699999999</v>
      </c>
      <c r="J674" s="41">
        <v>176.658267</v>
      </c>
      <c r="K674" s="41">
        <v>9.6396689999999996</v>
      </c>
      <c r="L674" s="41">
        <v>7.2434029999999998</v>
      </c>
      <c r="M674" s="41">
        <v>-6.9769649999999999</v>
      </c>
      <c r="N674" s="43">
        <f>+M674-O674</f>
        <v>4.581842</v>
      </c>
      <c r="O674" s="41">
        <v>-11.558807</v>
      </c>
      <c r="P674" s="44">
        <v>0</v>
      </c>
      <c r="Q674" s="44">
        <v>0</v>
      </c>
      <c r="R674" s="45">
        <f>SUM(P674:Q674)</f>
        <v>0</v>
      </c>
      <c r="S674" s="46">
        <v>622</v>
      </c>
    </row>
    <row r="675" spans="2:19" ht="15.75" x14ac:dyDescent="0.25">
      <c r="B675" s="72">
        <f>+B674+1</f>
        <v>3</v>
      </c>
      <c r="C675" s="72" t="s">
        <v>978</v>
      </c>
      <c r="D675" s="39" t="s">
        <v>979</v>
      </c>
      <c r="E675" s="40">
        <v>44377</v>
      </c>
      <c r="F675" s="41">
        <v>120</v>
      </c>
      <c r="G675" s="42">
        <v>10</v>
      </c>
      <c r="H675" s="43">
        <f>+F675/G675</f>
        <v>12</v>
      </c>
      <c r="I675" s="41">
        <v>-39.807974999999999</v>
      </c>
      <c r="J675" s="41">
        <v>49.975701000000001</v>
      </c>
      <c r="K675" s="41">
        <v>0</v>
      </c>
      <c r="L675" s="41">
        <v>4.8938069999999998</v>
      </c>
      <c r="M675" s="41">
        <v>-3.7116889999999998</v>
      </c>
      <c r="N675" s="43">
        <f>+M675-O675</f>
        <v>0.44363799999999998</v>
      </c>
      <c r="O675" s="41">
        <v>-4.1553269999999998</v>
      </c>
      <c r="P675" s="44">
        <v>0</v>
      </c>
      <c r="Q675" s="44">
        <v>0</v>
      </c>
      <c r="R675" s="45">
        <f>SUM(P675:Q675)</f>
        <v>0</v>
      </c>
      <c r="S675" s="46">
        <v>1024</v>
      </c>
    </row>
    <row r="676" spans="2:19" ht="15.75" x14ac:dyDescent="0.25">
      <c r="B676" s="32"/>
      <c r="C676" s="32"/>
      <c r="D676" s="32"/>
      <c r="E676" s="33"/>
      <c r="F676" s="32"/>
      <c r="G676" s="51"/>
      <c r="H676" s="57"/>
      <c r="I676" s="35"/>
      <c r="J676" s="35"/>
      <c r="K676" s="35"/>
      <c r="L676" s="35"/>
      <c r="M676" s="35"/>
      <c r="N676" s="58"/>
      <c r="O676" s="35"/>
      <c r="P676" s="35"/>
      <c r="Q676" s="35"/>
      <c r="R676" s="58"/>
      <c r="S676" s="35"/>
    </row>
    <row r="677" spans="2:19" ht="15.75" x14ac:dyDescent="0.25">
      <c r="B677" s="38">
        <f>COUNT(B647:B676)</f>
        <v>26</v>
      </c>
      <c r="C677" s="38"/>
      <c r="D677" s="60"/>
      <c r="E677" s="40"/>
      <c r="F677" s="60">
        <f>SUM(F647:F676)</f>
        <v>39667.716235000007</v>
      </c>
      <c r="G677" s="61"/>
      <c r="H677" s="62">
        <f t="shared" ref="H677:O677" si="147">SUM(H647:H676)</f>
        <v>4117.5288939999991</v>
      </c>
      <c r="I677" s="60">
        <f t="shared" si="147"/>
        <v>123594.41609599999</v>
      </c>
      <c r="J677" s="60">
        <f t="shared" si="147"/>
        <v>250308.48924500003</v>
      </c>
      <c r="K677" s="60">
        <f t="shared" si="147"/>
        <v>281493.66784899996</v>
      </c>
      <c r="L677" s="60">
        <f t="shared" si="147"/>
        <v>4683.7245200000016</v>
      </c>
      <c r="M677" s="60">
        <f t="shared" si="147"/>
        <v>54913.129787999984</v>
      </c>
      <c r="N677" s="63">
        <f t="shared" si="147"/>
        <v>14701.524188000001</v>
      </c>
      <c r="O677" s="60">
        <f t="shared" si="147"/>
        <v>40211.605600000003</v>
      </c>
      <c r="P677" s="64"/>
      <c r="Q677" s="64"/>
      <c r="R677" s="65"/>
      <c r="S677" s="66">
        <f>SUM(S647:S676)</f>
        <v>67314</v>
      </c>
    </row>
    <row r="678" spans="2:19" ht="15.75" x14ac:dyDescent="0.25">
      <c r="B678" s="32"/>
      <c r="C678" s="32"/>
      <c r="D678" s="32"/>
      <c r="E678" s="33"/>
      <c r="F678" s="32"/>
      <c r="G678" s="51"/>
      <c r="H678" s="57"/>
      <c r="I678" s="35"/>
      <c r="J678" s="35"/>
      <c r="K678" s="35"/>
      <c r="L678" s="35"/>
      <c r="M678" s="35"/>
      <c r="N678" s="58"/>
      <c r="O678" s="35"/>
      <c r="P678" s="35"/>
      <c r="Q678" s="35"/>
      <c r="R678" s="58"/>
      <c r="S678" s="35"/>
    </row>
    <row r="679" spans="2:19" ht="15.75" x14ac:dyDescent="0.25">
      <c r="B679" s="32"/>
      <c r="C679" s="32"/>
      <c r="D679" s="32"/>
      <c r="E679" s="33"/>
      <c r="F679" s="32"/>
      <c r="G679" s="51"/>
      <c r="H679" s="57"/>
      <c r="I679" s="35"/>
      <c r="J679" s="35"/>
      <c r="K679" s="35"/>
      <c r="L679" s="35"/>
      <c r="M679" s="35"/>
      <c r="N679" s="58"/>
      <c r="O679" s="35"/>
      <c r="P679" s="35"/>
      <c r="Q679" s="35"/>
      <c r="R679" s="58"/>
      <c r="S679" s="35"/>
    </row>
    <row r="680" spans="2:19" ht="18.75" x14ac:dyDescent="0.3">
      <c r="B680" s="32"/>
      <c r="C680" s="37">
        <v>30</v>
      </c>
      <c r="D680" s="37" t="s">
        <v>980</v>
      </c>
      <c r="E680" s="73"/>
      <c r="F680" s="74"/>
      <c r="G680" s="51"/>
      <c r="H680" s="57"/>
      <c r="I680" s="35"/>
      <c r="J680" s="35"/>
      <c r="K680" s="35"/>
      <c r="L680" s="35"/>
      <c r="M680" s="35"/>
      <c r="N680" s="58"/>
      <c r="O680" s="35"/>
      <c r="P680" s="35"/>
      <c r="Q680" s="35"/>
      <c r="R680" s="58"/>
      <c r="S680" s="35"/>
    </row>
    <row r="681" spans="2:19" ht="15.75" x14ac:dyDescent="0.25">
      <c r="B681" s="32"/>
      <c r="C681" s="32"/>
      <c r="D681" s="32"/>
      <c r="E681" s="33"/>
      <c r="F681" s="32"/>
      <c r="G681" s="51"/>
      <c r="H681" s="57"/>
      <c r="I681" s="35"/>
      <c r="J681" s="35"/>
      <c r="K681" s="35"/>
      <c r="L681" s="35"/>
      <c r="M681" s="35"/>
      <c r="N681" s="58"/>
      <c r="O681" s="35"/>
      <c r="P681" s="35"/>
      <c r="Q681" s="35"/>
      <c r="R681" s="58"/>
      <c r="S681" s="35"/>
    </row>
    <row r="682" spans="2:19" ht="15.75" x14ac:dyDescent="0.25">
      <c r="B682" s="38">
        <v>1</v>
      </c>
      <c r="C682" s="72" t="s">
        <v>981</v>
      </c>
      <c r="D682" s="39" t="s">
        <v>982</v>
      </c>
      <c r="E682" s="40">
        <v>44377</v>
      </c>
      <c r="F682" s="41">
        <v>1764.221</v>
      </c>
      <c r="G682" s="42">
        <v>10</v>
      </c>
      <c r="H682" s="43">
        <f t="shared" ref="H682:H688" si="148">+F682/G682</f>
        <v>176.4221</v>
      </c>
      <c r="I682" s="41">
        <v>10321.915000000001</v>
      </c>
      <c r="J682" s="41">
        <v>21407.555</v>
      </c>
      <c r="K682" s="41">
        <v>28659.904999999999</v>
      </c>
      <c r="L682" s="41">
        <v>405.983</v>
      </c>
      <c r="M682" s="41">
        <v>4246.2889999999998</v>
      </c>
      <c r="N682" s="43">
        <f t="shared" ref="N682:N688" si="149">+M682-O682</f>
        <v>1286.6279999999997</v>
      </c>
      <c r="O682" s="41">
        <v>2959.6610000000001</v>
      </c>
      <c r="P682" s="44">
        <v>15</v>
      </c>
      <c r="Q682" s="44">
        <v>15</v>
      </c>
      <c r="R682" s="45">
        <f t="shared" ref="R682:R688" si="150">SUM(P682:Q682)</f>
        <v>30</v>
      </c>
      <c r="S682" s="46">
        <v>2554</v>
      </c>
    </row>
    <row r="683" spans="2:19" ht="15.75" x14ac:dyDescent="0.25">
      <c r="B683" s="38">
        <f t="shared" ref="B683:B688" si="151">+B682+1</f>
        <v>2</v>
      </c>
      <c r="C683" s="38" t="s">
        <v>983</v>
      </c>
      <c r="D683" s="39" t="s">
        <v>984</v>
      </c>
      <c r="E683" s="40">
        <v>44377</v>
      </c>
      <c r="F683" s="41">
        <v>425.06900000000002</v>
      </c>
      <c r="G683" s="42">
        <v>10</v>
      </c>
      <c r="H683" s="43">
        <f t="shared" si="148"/>
        <v>42.506900000000002</v>
      </c>
      <c r="I683" s="41">
        <v>6039.84</v>
      </c>
      <c r="J683" s="41">
        <v>12587.154</v>
      </c>
      <c r="K683" s="41">
        <v>11255.102000000001</v>
      </c>
      <c r="L683" s="41">
        <v>384.77199999999999</v>
      </c>
      <c r="M683" s="41">
        <v>1198.5219999999999</v>
      </c>
      <c r="N683" s="43">
        <f t="shared" si="149"/>
        <v>343.42999999999995</v>
      </c>
      <c r="O683" s="41">
        <v>855.09199999999998</v>
      </c>
      <c r="P683" s="44">
        <f>10+40</f>
        <v>50</v>
      </c>
      <c r="Q683" s="44">
        <v>0</v>
      </c>
      <c r="R683" s="45">
        <f t="shared" si="150"/>
        <v>50</v>
      </c>
      <c r="S683" s="46">
        <v>1634</v>
      </c>
    </row>
    <row r="684" spans="2:19" ht="15.75" x14ac:dyDescent="0.25">
      <c r="B684" s="38">
        <f t="shared" si="151"/>
        <v>3</v>
      </c>
      <c r="C684" s="38" t="s">
        <v>985</v>
      </c>
      <c r="D684" s="39" t="s">
        <v>986</v>
      </c>
      <c r="E684" s="40">
        <v>44377</v>
      </c>
      <c r="F684" s="41">
        <v>806.28398000000004</v>
      </c>
      <c r="G684" s="42">
        <v>10</v>
      </c>
      <c r="H684" s="43">
        <f t="shared" si="148"/>
        <v>80.628398000000004</v>
      </c>
      <c r="I684" s="41">
        <v>549.31638099999998</v>
      </c>
      <c r="J684" s="41">
        <v>4975.7313949999998</v>
      </c>
      <c r="K684" s="41">
        <v>2902.5590860000002</v>
      </c>
      <c r="L684" s="41">
        <v>326.96257700000001</v>
      </c>
      <c r="M684" s="41">
        <v>-544.716048</v>
      </c>
      <c r="N684" s="43">
        <f t="shared" si="149"/>
        <v>20.261516000000029</v>
      </c>
      <c r="O684" s="41">
        <v>-564.97756400000003</v>
      </c>
      <c r="P684" s="44">
        <v>0</v>
      </c>
      <c r="Q684" s="44">
        <v>0</v>
      </c>
      <c r="R684" s="45">
        <f t="shared" si="150"/>
        <v>0</v>
      </c>
      <c r="S684" s="46">
        <v>1719</v>
      </c>
    </row>
    <row r="685" spans="2:19" ht="15.75" x14ac:dyDescent="0.25">
      <c r="B685" s="38">
        <f t="shared" si="151"/>
        <v>4</v>
      </c>
      <c r="C685" s="38" t="s">
        <v>987</v>
      </c>
      <c r="D685" s="39" t="s">
        <v>988</v>
      </c>
      <c r="E685" s="40">
        <v>44561</v>
      </c>
      <c r="F685" s="41"/>
      <c r="G685" s="42">
        <v>10</v>
      </c>
      <c r="H685" s="43">
        <f t="shared" si="148"/>
        <v>0</v>
      </c>
      <c r="I685" s="41"/>
      <c r="J685" s="41"/>
      <c r="K685" s="41"/>
      <c r="L685" s="41"/>
      <c r="M685" s="41"/>
      <c r="N685" s="43">
        <f t="shared" si="149"/>
        <v>0</v>
      </c>
      <c r="O685" s="41"/>
      <c r="P685" s="44"/>
      <c r="Q685" s="44"/>
      <c r="R685" s="45">
        <f t="shared" si="150"/>
        <v>0</v>
      </c>
      <c r="S685" s="46"/>
    </row>
    <row r="686" spans="2:19" ht="15.75" x14ac:dyDescent="0.25">
      <c r="B686" s="38">
        <f t="shared" si="151"/>
        <v>5</v>
      </c>
      <c r="C686" s="72" t="s">
        <v>989</v>
      </c>
      <c r="D686" s="39" t="s">
        <v>990</v>
      </c>
      <c r="E686" s="40">
        <v>44377</v>
      </c>
      <c r="F686" s="41">
        <v>80</v>
      </c>
      <c r="G686" s="42">
        <v>10</v>
      </c>
      <c r="H686" s="43">
        <f t="shared" si="148"/>
        <v>8</v>
      </c>
      <c r="I686" s="41">
        <v>999.02862100000004</v>
      </c>
      <c r="J686" s="41">
        <v>1397.1615019999999</v>
      </c>
      <c r="K686" s="41">
        <v>1092.961922</v>
      </c>
      <c r="L686" s="41">
        <v>15.969315</v>
      </c>
      <c r="M686" s="41">
        <v>97.013785999999996</v>
      </c>
      <c r="N686" s="43">
        <f t="shared" si="149"/>
        <v>26.448594</v>
      </c>
      <c r="O686" s="41">
        <v>70.565191999999996</v>
      </c>
      <c r="P686" s="44">
        <f>20+30</f>
        <v>50</v>
      </c>
      <c r="Q686" s="44">
        <v>0</v>
      </c>
      <c r="R686" s="45">
        <f t="shared" si="150"/>
        <v>50</v>
      </c>
      <c r="S686" s="46">
        <v>801</v>
      </c>
    </row>
    <row r="687" spans="2:19" ht="15.75" x14ac:dyDescent="0.25">
      <c r="B687" s="38">
        <f t="shared" si="151"/>
        <v>6</v>
      </c>
      <c r="C687" s="72" t="s">
        <v>991</v>
      </c>
      <c r="D687" s="39" t="s">
        <v>992</v>
      </c>
      <c r="E687" s="40">
        <v>44377</v>
      </c>
      <c r="F687" s="41">
        <v>1419</v>
      </c>
      <c r="G687" s="42">
        <v>10</v>
      </c>
      <c r="H687" s="43">
        <f t="shared" si="148"/>
        <v>141.9</v>
      </c>
      <c r="I687" s="41">
        <v>6064.1065269999999</v>
      </c>
      <c r="J687" s="41">
        <v>9438.810168</v>
      </c>
      <c r="K687" s="41">
        <v>6995.8382250000004</v>
      </c>
      <c r="L687" s="41">
        <v>111.63568100000001</v>
      </c>
      <c r="M687" s="41">
        <v>468.10129499999999</v>
      </c>
      <c r="N687" s="43">
        <f t="shared" si="149"/>
        <v>122.45129199999997</v>
      </c>
      <c r="O687" s="41">
        <v>345.65000300000003</v>
      </c>
      <c r="P687" s="44">
        <v>0</v>
      </c>
      <c r="Q687" s="44">
        <v>0</v>
      </c>
      <c r="R687" s="45">
        <f t="shared" ref="R687" si="152">SUM(P687:Q687)</f>
        <v>0</v>
      </c>
      <c r="S687" s="46">
        <v>5331</v>
      </c>
    </row>
    <row r="688" spans="2:19" ht="15.75" x14ac:dyDescent="0.25">
      <c r="B688" s="38">
        <f t="shared" si="151"/>
        <v>7</v>
      </c>
      <c r="C688" s="72" t="s">
        <v>993</v>
      </c>
      <c r="D688" s="39" t="s">
        <v>994</v>
      </c>
      <c r="E688" s="40">
        <v>44377</v>
      </c>
      <c r="F688" s="41">
        <v>592.55899999999997</v>
      </c>
      <c r="G688" s="42">
        <v>10</v>
      </c>
      <c r="H688" s="43">
        <f t="shared" si="148"/>
        <v>59.255899999999997</v>
      </c>
      <c r="I688" s="41">
        <v>6720.7</v>
      </c>
      <c r="J688" s="41">
        <v>8137.3490000000002</v>
      </c>
      <c r="K688" s="41">
        <v>5001.692</v>
      </c>
      <c r="L688" s="41">
        <v>3.5859999999999999</v>
      </c>
      <c r="M688" s="41">
        <v>1996.175</v>
      </c>
      <c r="N688" s="43">
        <f t="shared" si="149"/>
        <v>537.73</v>
      </c>
      <c r="O688" s="41">
        <v>1458.4449999999999</v>
      </c>
      <c r="P688" s="44">
        <v>90</v>
      </c>
      <c r="Q688" s="44">
        <v>0</v>
      </c>
      <c r="R688" s="45">
        <f t="shared" si="150"/>
        <v>90</v>
      </c>
      <c r="S688" s="46">
        <v>2195</v>
      </c>
    </row>
    <row r="689" spans="2:19" ht="15.75" x14ac:dyDescent="0.25">
      <c r="B689" s="32"/>
      <c r="C689" s="32"/>
      <c r="D689" s="32"/>
      <c r="E689" s="33"/>
      <c r="F689" s="32"/>
      <c r="G689" s="51"/>
      <c r="H689" s="57"/>
      <c r="I689" s="35"/>
      <c r="J689" s="35"/>
      <c r="K689" s="35"/>
      <c r="L689" s="35"/>
      <c r="M689" s="35"/>
      <c r="N689" s="58"/>
      <c r="O689" s="35"/>
      <c r="P689" s="35"/>
      <c r="Q689" s="35"/>
      <c r="R689" s="58"/>
      <c r="S689" s="35"/>
    </row>
    <row r="690" spans="2:19" ht="18.75" x14ac:dyDescent="0.3">
      <c r="B690" s="32"/>
      <c r="C690" s="32"/>
      <c r="D690" s="68" t="s">
        <v>41</v>
      </c>
      <c r="E690" s="33"/>
      <c r="F690" s="32"/>
      <c r="G690" s="51"/>
      <c r="H690" s="57"/>
      <c r="I690" s="35"/>
      <c r="J690" s="35"/>
      <c r="K690" s="35"/>
      <c r="L690" s="35"/>
      <c r="M690" s="35"/>
      <c r="N690" s="58"/>
      <c r="O690" s="35"/>
      <c r="P690" s="35"/>
      <c r="Q690" s="35"/>
      <c r="R690" s="58"/>
      <c r="S690" s="35"/>
    </row>
    <row r="691" spans="2:19" ht="15.75" x14ac:dyDescent="0.25">
      <c r="B691" s="72">
        <v>1</v>
      </c>
      <c r="C691" s="72" t="s">
        <v>995</v>
      </c>
      <c r="D691" s="39" t="s">
        <v>996</v>
      </c>
      <c r="E691" s="40">
        <v>44377</v>
      </c>
      <c r="F691" s="41"/>
      <c r="G691" s="42">
        <v>10</v>
      </c>
      <c r="H691" s="43">
        <f>+F691/G691</f>
        <v>0</v>
      </c>
      <c r="I691" s="41"/>
      <c r="J691" s="41"/>
      <c r="K691" s="41"/>
      <c r="L691" s="41"/>
      <c r="M691" s="41"/>
      <c r="N691" s="41">
        <f>+M691-O691</f>
        <v>0</v>
      </c>
      <c r="O691" s="41"/>
      <c r="P691" s="44"/>
      <c r="Q691" s="44"/>
      <c r="R691" s="44">
        <f>SUM(P691:Q691)</f>
        <v>0</v>
      </c>
      <c r="S691" s="46"/>
    </row>
    <row r="692" spans="2:19" ht="15.75" x14ac:dyDescent="0.25">
      <c r="B692" s="72">
        <f>+B691+1</f>
        <v>2</v>
      </c>
      <c r="C692" s="38" t="s">
        <v>997</v>
      </c>
      <c r="D692" s="39" t="s">
        <v>998</v>
      </c>
      <c r="E692" s="40">
        <v>44377</v>
      </c>
      <c r="F692" s="41">
        <v>40</v>
      </c>
      <c r="G692" s="42">
        <v>10</v>
      </c>
      <c r="H692" s="43">
        <f>+F692/G692</f>
        <v>4</v>
      </c>
      <c r="I692" s="41">
        <v>90.987900999999994</v>
      </c>
      <c r="J692" s="41">
        <v>125.28883500000001</v>
      </c>
      <c r="K692" s="41">
        <v>0</v>
      </c>
      <c r="L692" s="41">
        <v>0</v>
      </c>
      <c r="M692" s="41">
        <v>-13.348966000000001</v>
      </c>
      <c r="N692" s="43">
        <f>+M692-O692</f>
        <v>-3.2900990000000014</v>
      </c>
      <c r="O692" s="41">
        <v>-10.058866999999999</v>
      </c>
      <c r="P692" s="44">
        <v>0</v>
      </c>
      <c r="Q692" s="44">
        <v>0</v>
      </c>
      <c r="R692" s="45">
        <f>SUM(P692:Q692)</f>
        <v>0</v>
      </c>
      <c r="S692" s="46">
        <v>88</v>
      </c>
    </row>
    <row r="693" spans="2:19" ht="15.75" x14ac:dyDescent="0.25">
      <c r="B693" s="32"/>
      <c r="C693" s="32"/>
      <c r="D693" s="32"/>
      <c r="E693" s="33"/>
      <c r="F693" s="32"/>
      <c r="G693" s="51"/>
      <c r="H693" s="57"/>
      <c r="I693" s="35"/>
      <c r="J693" s="35"/>
      <c r="K693" s="35"/>
      <c r="L693" s="35"/>
      <c r="M693" s="35"/>
      <c r="N693" s="58"/>
      <c r="O693" s="35"/>
      <c r="P693" s="35"/>
      <c r="Q693" s="35"/>
      <c r="R693" s="58"/>
      <c r="S693" s="35"/>
    </row>
    <row r="694" spans="2:19" ht="15.75" x14ac:dyDescent="0.25">
      <c r="B694" s="38">
        <f>COUNT(B682:B693)</f>
        <v>9</v>
      </c>
      <c r="C694" s="38"/>
      <c r="D694" s="60"/>
      <c r="E694" s="40"/>
      <c r="F694" s="60">
        <f>SUM(F682:F693)</f>
        <v>5127.1329800000003</v>
      </c>
      <c r="G694" s="61"/>
      <c r="H694" s="62">
        <f t="shared" ref="H694:O694" si="153">SUM(H682:H693)</f>
        <v>512.71329800000001</v>
      </c>
      <c r="I694" s="60">
        <f t="shared" si="153"/>
        <v>30785.894430000004</v>
      </c>
      <c r="J694" s="60">
        <f t="shared" si="153"/>
        <v>58069.049900000013</v>
      </c>
      <c r="K694" s="60">
        <f t="shared" si="153"/>
        <v>55908.058233000003</v>
      </c>
      <c r="L694" s="60">
        <f t="shared" si="153"/>
        <v>1248.9085729999999</v>
      </c>
      <c r="M694" s="60">
        <f t="shared" si="153"/>
        <v>7448.0360670000009</v>
      </c>
      <c r="N694" s="63">
        <f t="shared" si="153"/>
        <v>2333.6593029999995</v>
      </c>
      <c r="O694" s="60">
        <f t="shared" si="153"/>
        <v>5114.3767640000005</v>
      </c>
      <c r="P694" s="64"/>
      <c r="Q694" s="64"/>
      <c r="R694" s="65"/>
      <c r="S694" s="66">
        <f>SUM(S682:S693)</f>
        <v>14322</v>
      </c>
    </row>
    <row r="695" spans="2:19" ht="15.75" x14ac:dyDescent="0.25">
      <c r="B695" s="32"/>
      <c r="C695" s="32"/>
      <c r="D695" s="32"/>
      <c r="E695" s="33"/>
      <c r="F695" s="32"/>
      <c r="G695" s="51"/>
      <c r="H695" s="57"/>
      <c r="I695" s="35"/>
      <c r="J695" s="35"/>
      <c r="K695" s="35"/>
      <c r="L695" s="35"/>
      <c r="M695" s="35"/>
      <c r="N695" s="58"/>
      <c r="O695" s="35"/>
      <c r="P695" s="35"/>
      <c r="Q695" s="35"/>
      <c r="R695" s="58"/>
      <c r="S695" s="35"/>
    </row>
    <row r="696" spans="2:19" ht="15.75" x14ac:dyDescent="0.25">
      <c r="B696" s="32"/>
      <c r="C696" s="32"/>
      <c r="D696" s="32"/>
      <c r="E696" s="33"/>
      <c r="F696" s="32"/>
      <c r="G696" s="51"/>
      <c r="H696" s="57"/>
      <c r="I696" s="35"/>
      <c r="J696" s="35"/>
      <c r="K696" s="35"/>
      <c r="L696" s="35"/>
      <c r="M696" s="35"/>
      <c r="N696" s="58"/>
      <c r="O696" s="35"/>
      <c r="P696" s="35"/>
      <c r="Q696" s="35"/>
      <c r="R696" s="58"/>
      <c r="S696" s="35"/>
    </row>
    <row r="697" spans="2:19" ht="18.75" x14ac:dyDescent="0.3">
      <c r="B697" s="32"/>
      <c r="C697" s="37">
        <v>31</v>
      </c>
      <c r="D697" s="37" t="s">
        <v>999</v>
      </c>
      <c r="E697" s="73"/>
      <c r="F697" s="74"/>
      <c r="G697" s="51"/>
      <c r="H697" s="57"/>
      <c r="I697" s="35"/>
      <c r="J697" s="35"/>
      <c r="K697" s="35"/>
      <c r="L697" s="35"/>
      <c r="M697" s="35"/>
      <c r="N697" s="58"/>
      <c r="O697" s="35"/>
      <c r="P697" s="35"/>
      <c r="Q697" s="35"/>
      <c r="R697" s="58"/>
      <c r="S697" s="35"/>
    </row>
    <row r="698" spans="2:19" ht="15.75" x14ac:dyDescent="0.25">
      <c r="B698" s="32"/>
      <c r="C698" s="32"/>
      <c r="D698" s="32"/>
      <c r="E698" s="33"/>
      <c r="F698" s="32"/>
      <c r="G698" s="51"/>
      <c r="H698" s="57"/>
      <c r="I698" s="35"/>
      <c r="J698" s="35"/>
      <c r="K698" s="35"/>
      <c r="L698" s="35"/>
      <c r="M698" s="35"/>
      <c r="N698" s="58"/>
      <c r="O698" s="35"/>
      <c r="P698" s="35"/>
      <c r="Q698" s="35"/>
      <c r="R698" s="58"/>
      <c r="S698" s="35"/>
    </row>
    <row r="699" spans="2:19" ht="15.75" x14ac:dyDescent="0.25">
      <c r="B699" s="38">
        <v>1</v>
      </c>
      <c r="C699" s="38" t="s">
        <v>1000</v>
      </c>
      <c r="D699" s="39" t="s">
        <v>1001</v>
      </c>
      <c r="E699" s="40">
        <v>44377</v>
      </c>
      <c r="F699" s="41">
        <v>53.90652</v>
      </c>
      <c r="G699" s="42">
        <v>10</v>
      </c>
      <c r="H699" s="43">
        <f>+F699/G699</f>
        <v>5.3906520000000002</v>
      </c>
      <c r="I699" s="41">
        <v>1268.105153</v>
      </c>
      <c r="J699" s="41">
        <v>2490.3144499999999</v>
      </c>
      <c r="K699" s="41">
        <v>5981.8426589999999</v>
      </c>
      <c r="L699" s="41">
        <v>18.182103000000001</v>
      </c>
      <c r="M699" s="41">
        <v>66.197772999999998</v>
      </c>
      <c r="N699" s="43">
        <f>+M699-O699</f>
        <v>83.159385</v>
      </c>
      <c r="O699" s="41">
        <v>-16.961611999999999</v>
      </c>
      <c r="P699" s="44">
        <v>10</v>
      </c>
      <c r="Q699" s="44">
        <v>0</v>
      </c>
      <c r="R699" s="45">
        <f>SUM(P699:Q699)</f>
        <v>10</v>
      </c>
      <c r="S699" s="46">
        <v>1070</v>
      </c>
    </row>
    <row r="700" spans="2:19" ht="15.75" x14ac:dyDescent="0.25">
      <c r="B700" s="38">
        <f>+B699+1</f>
        <v>2</v>
      </c>
      <c r="C700" s="38" t="s">
        <v>1002</v>
      </c>
      <c r="D700" s="39" t="s">
        <v>1003</v>
      </c>
      <c r="E700" s="40">
        <v>44377</v>
      </c>
      <c r="F700" s="41">
        <v>56.584000000000003</v>
      </c>
      <c r="G700" s="42">
        <v>10</v>
      </c>
      <c r="H700" s="43">
        <f>+F700/G700</f>
        <v>5.6584000000000003</v>
      </c>
      <c r="I700" s="41">
        <v>1337.0232590000001</v>
      </c>
      <c r="J700" s="41">
        <v>3283.1227640000002</v>
      </c>
      <c r="K700" s="41">
        <v>8037.7448860000004</v>
      </c>
      <c r="L700" s="41">
        <v>118.55776400000001</v>
      </c>
      <c r="M700" s="41">
        <v>441.47987499999999</v>
      </c>
      <c r="N700" s="43">
        <f>+M700-O700</f>
        <v>129.90600000000001</v>
      </c>
      <c r="O700" s="41">
        <v>311.57387499999999</v>
      </c>
      <c r="P700" s="44">
        <v>30</v>
      </c>
      <c r="Q700" s="44">
        <v>0</v>
      </c>
      <c r="R700" s="45">
        <f>SUM(P700:Q700)</f>
        <v>30</v>
      </c>
      <c r="S700" s="46">
        <v>904</v>
      </c>
    </row>
    <row r="701" spans="2:19" ht="15.75" x14ac:dyDescent="0.25">
      <c r="B701" s="32"/>
      <c r="C701" s="32"/>
      <c r="D701" s="32"/>
      <c r="E701" s="33"/>
      <c r="F701" s="32"/>
      <c r="G701" s="51"/>
      <c r="H701" s="57"/>
      <c r="I701" s="35"/>
      <c r="J701" s="35"/>
      <c r="K701" s="35"/>
      <c r="L701" s="35"/>
      <c r="M701" s="35"/>
      <c r="N701" s="58"/>
      <c r="O701" s="35"/>
      <c r="P701" s="35"/>
      <c r="Q701" s="35"/>
      <c r="R701" s="58"/>
      <c r="S701" s="35"/>
    </row>
    <row r="702" spans="2:19" ht="18.75" x14ac:dyDescent="0.3">
      <c r="B702" s="32"/>
      <c r="C702" s="32"/>
      <c r="D702" s="68" t="s">
        <v>41</v>
      </c>
      <c r="E702" s="33"/>
      <c r="F702" s="32"/>
      <c r="G702" s="51"/>
      <c r="H702" s="57"/>
      <c r="I702" s="35"/>
      <c r="J702" s="35"/>
      <c r="K702" s="35"/>
      <c r="L702" s="35"/>
      <c r="M702" s="35"/>
      <c r="N702" s="58"/>
      <c r="O702" s="35"/>
      <c r="P702" s="35"/>
      <c r="Q702" s="35"/>
      <c r="R702" s="58"/>
      <c r="S702" s="35"/>
    </row>
    <row r="703" spans="2:19" ht="15.75" x14ac:dyDescent="0.25">
      <c r="B703" s="38">
        <v>1</v>
      </c>
      <c r="C703" s="38" t="s">
        <v>1004</v>
      </c>
      <c r="D703" s="39" t="s">
        <v>1005</v>
      </c>
      <c r="E703" s="40">
        <v>44469</v>
      </c>
      <c r="F703" s="41"/>
      <c r="G703" s="42">
        <v>10</v>
      </c>
      <c r="H703" s="43">
        <f>+F703/G703</f>
        <v>0</v>
      </c>
      <c r="I703" s="41"/>
      <c r="J703" s="41"/>
      <c r="K703" s="41"/>
      <c r="L703" s="41"/>
      <c r="M703" s="41"/>
      <c r="N703" s="43">
        <f>+M703-O703</f>
        <v>0</v>
      </c>
      <c r="O703" s="41"/>
      <c r="P703" s="44"/>
      <c r="Q703" s="44"/>
      <c r="R703" s="45">
        <f>SUM(P703:Q703)</f>
        <v>0</v>
      </c>
      <c r="S703" s="46"/>
    </row>
    <row r="704" spans="2:19" ht="15.75" x14ac:dyDescent="0.25">
      <c r="B704" s="38">
        <f>+B703+1</f>
        <v>2</v>
      </c>
      <c r="C704" s="38" t="s">
        <v>1006</v>
      </c>
      <c r="D704" s="39" t="s">
        <v>1007</v>
      </c>
      <c r="E704" s="40">
        <v>44377</v>
      </c>
      <c r="F704" s="41"/>
      <c r="G704" s="42">
        <v>10</v>
      </c>
      <c r="H704" s="43">
        <f>+F704/G704</f>
        <v>0</v>
      </c>
      <c r="I704" s="41"/>
      <c r="J704" s="41"/>
      <c r="K704" s="41"/>
      <c r="L704" s="41"/>
      <c r="M704" s="41"/>
      <c r="N704" s="43">
        <f>+M704-O704</f>
        <v>0</v>
      </c>
      <c r="O704" s="41"/>
      <c r="P704" s="44"/>
      <c r="Q704" s="44"/>
      <c r="R704" s="45">
        <f>SUM(P704:Q704)</f>
        <v>0</v>
      </c>
      <c r="S704" s="46"/>
    </row>
    <row r="705" spans="2:19" ht="15.75" x14ac:dyDescent="0.25">
      <c r="B705" s="32"/>
      <c r="C705" s="32"/>
      <c r="D705" s="32"/>
      <c r="E705" s="33"/>
      <c r="F705" s="32"/>
      <c r="G705" s="51"/>
      <c r="H705" s="57"/>
      <c r="I705" s="35"/>
      <c r="J705" s="35"/>
      <c r="K705" s="35"/>
      <c r="L705" s="35"/>
      <c r="M705" s="35"/>
      <c r="N705" s="58"/>
      <c r="O705" s="35"/>
      <c r="P705" s="35"/>
      <c r="Q705" s="35"/>
      <c r="R705" s="58"/>
      <c r="S705" s="35"/>
    </row>
    <row r="706" spans="2:19" ht="15.75" x14ac:dyDescent="0.25">
      <c r="B706" s="38">
        <f>COUNT(B699:B705)</f>
        <v>4</v>
      </c>
      <c r="C706" s="38"/>
      <c r="D706" s="60"/>
      <c r="E706" s="40"/>
      <c r="F706" s="60">
        <f>SUM(F699:F705)</f>
        <v>110.49052</v>
      </c>
      <c r="G706" s="61"/>
      <c r="H706" s="62">
        <f t="shared" ref="H706:O706" si="154">SUM(H699:H705)</f>
        <v>11.049052</v>
      </c>
      <c r="I706" s="60">
        <f t="shared" si="154"/>
        <v>2605.128412</v>
      </c>
      <c r="J706" s="60">
        <f t="shared" si="154"/>
        <v>5773.4372139999996</v>
      </c>
      <c r="K706" s="60">
        <f t="shared" si="154"/>
        <v>14019.587545</v>
      </c>
      <c r="L706" s="60">
        <f t="shared" si="154"/>
        <v>136.739867</v>
      </c>
      <c r="M706" s="60">
        <f t="shared" si="154"/>
        <v>507.67764799999998</v>
      </c>
      <c r="N706" s="63">
        <f t="shared" si="154"/>
        <v>213.06538499999999</v>
      </c>
      <c r="O706" s="60">
        <f t="shared" si="154"/>
        <v>294.61226299999998</v>
      </c>
      <c r="P706" s="64"/>
      <c r="Q706" s="64"/>
      <c r="R706" s="65"/>
      <c r="S706" s="66">
        <f>SUM(S699:S705)</f>
        <v>1974</v>
      </c>
    </row>
    <row r="707" spans="2:19" ht="15.75" x14ac:dyDescent="0.25">
      <c r="B707" s="32"/>
      <c r="C707" s="32"/>
      <c r="D707" s="32"/>
      <c r="E707" s="33"/>
      <c r="F707" s="32"/>
      <c r="G707" s="51"/>
      <c r="H707" s="57"/>
      <c r="I707" s="35"/>
      <c r="J707" s="35"/>
      <c r="K707" s="35"/>
      <c r="L707" s="35"/>
      <c r="M707" s="35"/>
      <c r="N707" s="58"/>
      <c r="O707" s="35"/>
      <c r="P707" s="35"/>
      <c r="Q707" s="35"/>
      <c r="R707" s="58"/>
      <c r="S707" s="35"/>
    </row>
    <row r="708" spans="2:19" ht="15.75" x14ac:dyDescent="0.25">
      <c r="B708" s="32"/>
      <c r="C708" s="32"/>
      <c r="D708" s="32"/>
      <c r="E708" s="33"/>
      <c r="F708" s="32"/>
      <c r="G708" s="51"/>
      <c r="H708" s="57"/>
      <c r="I708" s="35"/>
      <c r="J708" s="35"/>
      <c r="K708" s="35"/>
      <c r="L708" s="35"/>
      <c r="M708" s="35"/>
      <c r="N708" s="58"/>
      <c r="O708" s="35"/>
      <c r="P708" s="35"/>
      <c r="Q708" s="35"/>
      <c r="R708" s="58"/>
      <c r="S708" s="35"/>
    </row>
    <row r="709" spans="2:19" ht="18.75" x14ac:dyDescent="0.3">
      <c r="B709" s="32"/>
      <c r="C709" s="37">
        <v>32</v>
      </c>
      <c r="D709" s="37" t="s">
        <v>1008</v>
      </c>
      <c r="E709" s="73"/>
      <c r="F709" s="74"/>
      <c r="G709" s="51"/>
      <c r="H709" s="57"/>
      <c r="I709" s="35"/>
      <c r="J709" s="35"/>
      <c r="K709" s="35"/>
      <c r="L709" s="35"/>
      <c r="M709" s="35"/>
      <c r="N709" s="58"/>
      <c r="O709" s="35"/>
      <c r="P709" s="35"/>
      <c r="Q709" s="35"/>
      <c r="R709" s="58"/>
      <c r="S709" s="35"/>
    </row>
    <row r="710" spans="2:19" ht="15.75" x14ac:dyDescent="0.25">
      <c r="B710" s="32"/>
      <c r="C710" s="32"/>
      <c r="D710" s="32"/>
      <c r="E710" s="33"/>
      <c r="F710" s="32"/>
      <c r="G710" s="51"/>
      <c r="H710" s="57"/>
      <c r="I710" s="35"/>
      <c r="J710" s="35"/>
      <c r="K710" s="35"/>
      <c r="L710" s="35"/>
      <c r="M710" s="35"/>
      <c r="N710" s="58"/>
      <c r="O710" s="35"/>
      <c r="P710" s="35"/>
      <c r="Q710" s="35"/>
      <c r="R710" s="58"/>
      <c r="S710" s="35"/>
    </row>
    <row r="711" spans="2:19" ht="15.75" x14ac:dyDescent="0.25">
      <c r="B711" s="72">
        <v>1</v>
      </c>
      <c r="C711" s="72" t="s">
        <v>1009</v>
      </c>
      <c r="D711" s="39" t="s">
        <v>1010</v>
      </c>
      <c r="E711" s="40">
        <v>44561</v>
      </c>
      <c r="F711" s="41">
        <v>75.599999999999994</v>
      </c>
      <c r="G711" s="42">
        <v>10</v>
      </c>
      <c r="H711" s="43">
        <f>+F711/G711</f>
        <v>7.56</v>
      </c>
      <c r="I711" s="41"/>
      <c r="J711" s="41"/>
      <c r="K711" s="41"/>
      <c r="L711" s="41"/>
      <c r="M711" s="41">
        <v>807.279</v>
      </c>
      <c r="N711" s="43">
        <f>+M711-O711</f>
        <v>261.18999999999994</v>
      </c>
      <c r="O711" s="41">
        <v>546.08900000000006</v>
      </c>
      <c r="P711" s="44">
        <f>1000</f>
        <v>1000</v>
      </c>
      <c r="Q711" s="44">
        <v>0</v>
      </c>
      <c r="R711" s="45">
        <f>SUM(P711:Q711)</f>
        <v>1000</v>
      </c>
      <c r="S711" s="46"/>
    </row>
    <row r="712" spans="2:19" ht="15.75" x14ac:dyDescent="0.25">
      <c r="B712" s="72">
        <f>+B711+1</f>
        <v>2</v>
      </c>
      <c r="C712" s="72" t="s">
        <v>1011</v>
      </c>
      <c r="D712" s="39" t="s">
        <v>1012</v>
      </c>
      <c r="E712" s="40">
        <v>44377</v>
      </c>
      <c r="F712" s="41">
        <v>60</v>
      </c>
      <c r="G712" s="42">
        <v>10</v>
      </c>
      <c r="H712" s="43">
        <f>+F712/G712</f>
        <v>6</v>
      </c>
      <c r="I712" s="41">
        <v>37.889208000000004</v>
      </c>
      <c r="J712" s="41">
        <v>47.532243999999999</v>
      </c>
      <c r="K712" s="41">
        <v>16.961172000000001</v>
      </c>
      <c r="L712" s="41">
        <v>0</v>
      </c>
      <c r="M712" s="41">
        <v>-58.506053999999999</v>
      </c>
      <c r="N712" s="43">
        <f>+M712-O712</f>
        <v>0.17359799999999836</v>
      </c>
      <c r="O712" s="41">
        <v>-58.679651999999997</v>
      </c>
      <c r="P712" s="44">
        <v>0</v>
      </c>
      <c r="Q712" s="44">
        <v>0</v>
      </c>
      <c r="R712" s="45">
        <f>SUM(P712:Q712)</f>
        <v>0</v>
      </c>
      <c r="S712" s="46">
        <v>1360</v>
      </c>
    </row>
    <row r="713" spans="2:19" ht="15.75" x14ac:dyDescent="0.25">
      <c r="B713" s="72">
        <f>+B712+1</f>
        <v>3</v>
      </c>
      <c r="C713" s="72" t="s">
        <v>1013</v>
      </c>
      <c r="D713" s="39" t="s">
        <v>1014</v>
      </c>
      <c r="E713" s="40">
        <v>44561</v>
      </c>
      <c r="F713" s="41"/>
      <c r="G713" s="42">
        <v>10</v>
      </c>
      <c r="H713" s="43">
        <f>+F713/G713</f>
        <v>0</v>
      </c>
      <c r="I713" s="41"/>
      <c r="J713" s="41"/>
      <c r="K713" s="41"/>
      <c r="L713" s="41"/>
      <c r="M713" s="41"/>
      <c r="N713" s="43">
        <f>+M713-O713</f>
        <v>0</v>
      </c>
      <c r="O713" s="41"/>
      <c r="P713" s="44"/>
      <c r="Q713" s="44"/>
      <c r="R713" s="45">
        <f>SUM(P713:Q713)</f>
        <v>0</v>
      </c>
      <c r="S713" s="46"/>
    </row>
    <row r="714" spans="2:19" ht="15.75" x14ac:dyDescent="0.25">
      <c r="B714" s="72">
        <f>+B713+1</f>
        <v>4</v>
      </c>
      <c r="C714" s="72" t="s">
        <v>1015</v>
      </c>
      <c r="D714" s="39" t="s">
        <v>1016</v>
      </c>
      <c r="E714" s="40">
        <v>44561</v>
      </c>
      <c r="F714" s="41"/>
      <c r="G714" s="42">
        <v>10</v>
      </c>
      <c r="H714" s="43">
        <f>+F714/G714</f>
        <v>0</v>
      </c>
      <c r="I714" s="41"/>
      <c r="J714" s="41"/>
      <c r="K714" s="41"/>
      <c r="L714" s="41"/>
      <c r="M714" s="41"/>
      <c r="N714" s="43">
        <f>+M714-O714</f>
        <v>0</v>
      </c>
      <c r="O714" s="41"/>
      <c r="P714" s="44"/>
      <c r="Q714" s="44"/>
      <c r="R714" s="45">
        <f>SUM(P714:Q714)</f>
        <v>0</v>
      </c>
      <c r="S714" s="46"/>
    </row>
    <row r="715" spans="2:19" ht="15.75" x14ac:dyDescent="0.25">
      <c r="B715" s="32"/>
      <c r="C715" s="32"/>
      <c r="D715" s="32"/>
      <c r="E715" s="33"/>
      <c r="F715" s="32"/>
      <c r="G715" s="51"/>
      <c r="H715" s="57"/>
      <c r="I715" s="35"/>
      <c r="J715" s="35"/>
      <c r="K715" s="35"/>
      <c r="L715" s="35"/>
      <c r="M715" s="35"/>
      <c r="N715" s="58"/>
      <c r="O715" s="35"/>
      <c r="P715" s="35"/>
      <c r="Q715" s="35"/>
      <c r="R715" s="58"/>
      <c r="S715" s="35"/>
    </row>
    <row r="716" spans="2:19" ht="18.75" x14ac:dyDescent="0.3">
      <c r="B716" s="32"/>
      <c r="C716" s="32"/>
      <c r="D716" s="68" t="s">
        <v>41</v>
      </c>
      <c r="E716" s="33"/>
      <c r="F716" s="32"/>
      <c r="G716" s="51"/>
      <c r="H716" s="57"/>
      <c r="I716" s="35"/>
      <c r="J716" s="35"/>
      <c r="K716" s="35"/>
      <c r="L716" s="35"/>
      <c r="M716" s="35"/>
      <c r="N716" s="58"/>
      <c r="O716" s="35"/>
      <c r="P716" s="35"/>
      <c r="Q716" s="35"/>
      <c r="R716" s="58"/>
      <c r="S716" s="35"/>
    </row>
    <row r="717" spans="2:19" ht="15.75" x14ac:dyDescent="0.25">
      <c r="B717" s="72">
        <v>1</v>
      </c>
      <c r="C717" s="72" t="s">
        <v>1017</v>
      </c>
      <c r="D717" s="39" t="s">
        <v>1018</v>
      </c>
      <c r="E717" s="40">
        <v>44377</v>
      </c>
      <c r="F717" s="41">
        <v>20</v>
      </c>
      <c r="G717" s="42">
        <v>10</v>
      </c>
      <c r="H717" s="43">
        <f>+F717/G717</f>
        <v>2</v>
      </c>
      <c r="I717" s="41">
        <v>-79.261992000000006</v>
      </c>
      <c r="J717" s="41">
        <v>53.519908000000001</v>
      </c>
      <c r="K717" s="41">
        <v>13.563075</v>
      </c>
      <c r="L717" s="41">
        <v>1.0596E-2</v>
      </c>
      <c r="M717" s="41">
        <v>-4.0189329999999996</v>
      </c>
      <c r="N717" s="43">
        <f>+M717-O717</f>
        <v>0.20387300000000064</v>
      </c>
      <c r="O717" s="41">
        <v>-4.2228060000000003</v>
      </c>
      <c r="P717" s="44">
        <v>0</v>
      </c>
      <c r="Q717" s="44">
        <v>0</v>
      </c>
      <c r="R717" s="45">
        <f>SUM(P717:Q717)</f>
        <v>0</v>
      </c>
      <c r="S717" s="46">
        <v>107</v>
      </c>
    </row>
    <row r="718" spans="2:19" ht="15.75" x14ac:dyDescent="0.25">
      <c r="B718" s="72">
        <f>+B717+1</f>
        <v>2</v>
      </c>
      <c r="C718" s="72" t="s">
        <v>1019</v>
      </c>
      <c r="D718" s="39" t="s">
        <v>1020</v>
      </c>
      <c r="E718" s="40">
        <v>44377</v>
      </c>
      <c r="F718" s="41">
        <v>34</v>
      </c>
      <c r="G718" s="42">
        <v>10</v>
      </c>
      <c r="H718" s="43">
        <f>+F718/G718</f>
        <v>3.4</v>
      </c>
      <c r="I718" s="41">
        <v>-206.03301200000001</v>
      </c>
      <c r="J718" s="41">
        <v>121.251351</v>
      </c>
      <c r="K718" s="41">
        <v>108.36296900000001</v>
      </c>
      <c r="L718" s="41">
        <v>1.514869</v>
      </c>
      <c r="M718" s="41">
        <v>-7.9401590000000004</v>
      </c>
      <c r="N718" s="43">
        <f>+M718-O718</f>
        <v>0.76314899999999941</v>
      </c>
      <c r="O718" s="41">
        <v>-8.7033079999999998</v>
      </c>
      <c r="P718" s="44">
        <v>0</v>
      </c>
      <c r="Q718" s="44">
        <v>0</v>
      </c>
      <c r="R718" s="45">
        <f>SUM(P718:Q718)</f>
        <v>0</v>
      </c>
      <c r="S718" s="46">
        <v>555</v>
      </c>
    </row>
    <row r="719" spans="2:19" ht="15.75" x14ac:dyDescent="0.25">
      <c r="B719" s="32"/>
      <c r="C719" s="32"/>
      <c r="D719" s="32"/>
      <c r="E719" s="33"/>
      <c r="F719" s="32"/>
      <c r="G719" s="51"/>
      <c r="H719" s="57"/>
      <c r="I719" s="35"/>
      <c r="J719" s="35"/>
      <c r="K719" s="35"/>
      <c r="L719" s="35"/>
      <c r="M719" s="35"/>
      <c r="N719" s="58"/>
      <c r="O719" s="35"/>
      <c r="P719" s="35"/>
      <c r="Q719" s="35"/>
      <c r="R719" s="58"/>
      <c r="S719" s="35"/>
    </row>
    <row r="720" spans="2:19" ht="15.75" x14ac:dyDescent="0.25">
      <c r="B720" s="38">
        <f>COUNT(B711:B719)</f>
        <v>6</v>
      </c>
      <c r="C720" s="38"/>
      <c r="D720" s="60"/>
      <c r="E720" s="40"/>
      <c r="F720" s="60">
        <f>SUM(F711:F719)</f>
        <v>189.6</v>
      </c>
      <c r="G720" s="61"/>
      <c r="H720" s="62">
        <f t="shared" ref="H720:O720" si="155">SUM(H711:H719)</f>
        <v>18.959999999999997</v>
      </c>
      <c r="I720" s="60">
        <f t="shared" si="155"/>
        <v>-247.40579600000001</v>
      </c>
      <c r="J720" s="60">
        <f t="shared" si="155"/>
        <v>222.30350300000001</v>
      </c>
      <c r="K720" s="60">
        <f t="shared" si="155"/>
        <v>138.88721600000002</v>
      </c>
      <c r="L720" s="60">
        <f t="shared" si="155"/>
        <v>1.5254650000000001</v>
      </c>
      <c r="M720" s="60">
        <f t="shared" si="155"/>
        <v>736.81385400000011</v>
      </c>
      <c r="N720" s="63">
        <f t="shared" si="155"/>
        <v>262.3306199999999</v>
      </c>
      <c r="O720" s="60">
        <f t="shared" si="155"/>
        <v>474.4832340000001</v>
      </c>
      <c r="P720" s="64"/>
      <c r="Q720" s="64"/>
      <c r="R720" s="65"/>
      <c r="S720" s="66">
        <f>SUM(S711:S719)</f>
        <v>2022</v>
      </c>
    </row>
    <row r="721" spans="2:19" ht="15.75" x14ac:dyDescent="0.25">
      <c r="B721" s="32"/>
      <c r="C721" s="32"/>
      <c r="D721" s="32"/>
      <c r="E721" s="33"/>
      <c r="F721" s="32"/>
      <c r="G721" s="51"/>
      <c r="H721" s="57"/>
      <c r="I721" s="35"/>
      <c r="J721" s="35"/>
      <c r="K721" s="35"/>
      <c r="L721" s="35"/>
      <c r="M721" s="35"/>
      <c r="N721" s="58"/>
      <c r="O721" s="35"/>
      <c r="P721" s="35"/>
      <c r="Q721" s="35"/>
      <c r="R721" s="58"/>
      <c r="S721" s="35"/>
    </row>
    <row r="722" spans="2:19" ht="15.75" x14ac:dyDescent="0.25">
      <c r="B722" s="32"/>
      <c r="C722" s="32"/>
      <c r="D722" s="32"/>
      <c r="E722" s="33"/>
      <c r="F722" s="32"/>
      <c r="G722" s="51"/>
      <c r="H722" s="57"/>
      <c r="I722" s="35"/>
      <c r="J722" s="35"/>
      <c r="K722" s="35"/>
      <c r="L722" s="35"/>
      <c r="M722" s="35"/>
      <c r="N722" s="58"/>
      <c r="O722" s="35"/>
      <c r="P722" s="35"/>
      <c r="Q722" s="35"/>
      <c r="R722" s="58"/>
      <c r="S722" s="35"/>
    </row>
    <row r="723" spans="2:19" ht="18.75" x14ac:dyDescent="0.3">
      <c r="B723" s="32"/>
      <c r="C723" s="37">
        <v>33</v>
      </c>
      <c r="D723" s="37" t="s">
        <v>1021</v>
      </c>
      <c r="E723" s="73"/>
      <c r="F723" s="74"/>
      <c r="G723" s="51"/>
      <c r="H723" s="57"/>
      <c r="I723" s="35"/>
      <c r="J723" s="35"/>
      <c r="K723" s="35"/>
      <c r="L723" s="35"/>
      <c r="M723" s="35"/>
      <c r="N723" s="58"/>
      <c r="O723" s="35"/>
      <c r="P723" s="35"/>
      <c r="Q723" s="35"/>
      <c r="R723" s="58"/>
      <c r="S723" s="35"/>
    </row>
    <row r="724" spans="2:19" ht="15.75" x14ac:dyDescent="0.25">
      <c r="B724" s="32"/>
      <c r="C724" s="32"/>
      <c r="D724" s="32"/>
      <c r="E724" s="33"/>
      <c r="F724" s="32"/>
      <c r="G724" s="51"/>
      <c r="H724" s="57"/>
      <c r="I724" s="35"/>
      <c r="J724" s="35"/>
      <c r="K724" s="35"/>
      <c r="L724" s="35"/>
      <c r="M724" s="35"/>
      <c r="N724" s="58"/>
      <c r="O724" s="35"/>
      <c r="P724" s="35"/>
      <c r="Q724" s="35"/>
      <c r="R724" s="58"/>
      <c r="S724" s="35"/>
    </row>
    <row r="725" spans="2:19" ht="15.75" x14ac:dyDescent="0.25">
      <c r="B725" s="38">
        <v>1</v>
      </c>
      <c r="C725" s="38" t="s">
        <v>1022</v>
      </c>
      <c r="D725" s="39" t="s">
        <v>1023</v>
      </c>
      <c r="E725" s="40">
        <v>44377</v>
      </c>
      <c r="F725" s="41">
        <v>2999.3890000000001</v>
      </c>
      <c r="G725" s="42">
        <v>10</v>
      </c>
      <c r="H725" s="43">
        <f t="shared" ref="H725:H746" si="156">+F725/G725</f>
        <v>299.93889999999999</v>
      </c>
      <c r="I725" s="41">
        <v>6397.91</v>
      </c>
      <c r="J725" s="41">
        <v>9207.1589999999997</v>
      </c>
      <c r="K725" s="41">
        <v>5367.5069999999996</v>
      </c>
      <c r="L725" s="41">
        <v>181.4</v>
      </c>
      <c r="M725" s="41">
        <v>111.956</v>
      </c>
      <c r="N725" s="43">
        <f t="shared" ref="N725:N746" si="157">+M725-O725</f>
        <v>-1.0810000000000031</v>
      </c>
      <c r="O725" s="41">
        <v>113.03700000000001</v>
      </c>
      <c r="P725" s="44">
        <v>0</v>
      </c>
      <c r="Q725" s="44">
        <v>0</v>
      </c>
      <c r="R725" s="45">
        <f t="shared" ref="R725:R746" si="158">SUM(P725:Q725)</f>
        <v>0</v>
      </c>
      <c r="S725" s="46">
        <v>6345</v>
      </c>
    </row>
    <row r="726" spans="2:19" ht="15.75" x14ac:dyDescent="0.25">
      <c r="B726" s="72">
        <f>+B725+1</f>
        <v>2</v>
      </c>
      <c r="C726" s="72" t="s">
        <v>1024</v>
      </c>
      <c r="D726" s="39" t="s">
        <v>1025</v>
      </c>
      <c r="E726" s="40">
        <v>44377</v>
      </c>
      <c r="F726" s="41">
        <v>668.05269999999996</v>
      </c>
      <c r="G726" s="42">
        <v>10</v>
      </c>
      <c r="H726" s="43">
        <f>+F726/G726</f>
        <v>66.805269999999993</v>
      </c>
      <c r="I726" s="41">
        <v>1772.2023349999999</v>
      </c>
      <c r="J726" s="41">
        <v>3421.5415710000002</v>
      </c>
      <c r="K726" s="41">
        <v>3570.0452540000001</v>
      </c>
      <c r="L726" s="41">
        <v>84.042255999999995</v>
      </c>
      <c r="M726" s="41">
        <v>257.11536699999999</v>
      </c>
      <c r="N726" s="43">
        <f>+M726-O726</f>
        <v>79.162654000000003</v>
      </c>
      <c r="O726" s="41">
        <v>177.95271299999999</v>
      </c>
      <c r="P726" s="44">
        <v>0</v>
      </c>
      <c r="Q726" s="44">
        <f>30</f>
        <v>30</v>
      </c>
      <c r="R726" s="45">
        <f>SUM(P726:Q726)</f>
        <v>30</v>
      </c>
      <c r="S726" s="46">
        <v>2820</v>
      </c>
    </row>
    <row r="727" spans="2:19" ht="15.75" x14ac:dyDescent="0.25">
      <c r="B727" s="72">
        <f>+B726+1</f>
        <v>3</v>
      </c>
      <c r="C727" s="38" t="s">
        <v>1026</v>
      </c>
      <c r="D727" s="39" t="s">
        <v>1027</v>
      </c>
      <c r="E727" s="40">
        <v>44561</v>
      </c>
      <c r="F727" s="41">
        <v>7665.96</v>
      </c>
      <c r="G727" s="42">
        <v>10</v>
      </c>
      <c r="H727" s="43">
        <f t="shared" si="156"/>
        <v>766.596</v>
      </c>
      <c r="I727" s="41"/>
      <c r="J727" s="41"/>
      <c r="K727" s="41"/>
      <c r="L727" s="41"/>
      <c r="M727" s="41">
        <v>2580.3890000000001</v>
      </c>
      <c r="N727" s="43">
        <f t="shared" si="157"/>
        <v>776.31100000000015</v>
      </c>
      <c r="O727" s="41">
        <v>1804.078</v>
      </c>
      <c r="P727" s="44">
        <v>0</v>
      </c>
      <c r="Q727" s="44">
        <v>0</v>
      </c>
      <c r="R727" s="45">
        <f t="shared" si="158"/>
        <v>0</v>
      </c>
      <c r="S727" s="46"/>
    </row>
    <row r="728" spans="2:19" ht="15.75" x14ac:dyDescent="0.25">
      <c r="B728" s="38">
        <f t="shared" ref="B728:B746" si="159">+B727+1</f>
        <v>4</v>
      </c>
      <c r="C728" s="38" t="s">
        <v>1028</v>
      </c>
      <c r="D728" s="39" t="s">
        <v>1029</v>
      </c>
      <c r="E728" s="40">
        <v>44561</v>
      </c>
      <c r="F728" s="41">
        <v>15840.881590000001</v>
      </c>
      <c r="G728" s="42">
        <v>10</v>
      </c>
      <c r="H728" s="43">
        <f t="shared" si="156"/>
        <v>1584.0881590000001</v>
      </c>
      <c r="I728" s="41">
        <v>3525.5192379999999</v>
      </c>
      <c r="J728" s="41">
        <v>14164.743799</v>
      </c>
      <c r="K728" s="41">
        <v>8586.3963440000007</v>
      </c>
      <c r="L728" s="41">
        <v>1155.050524</v>
      </c>
      <c r="M728" s="41">
        <v>-1536.489276</v>
      </c>
      <c r="N728" s="43">
        <f t="shared" si="157"/>
        <v>-283.54701799999998</v>
      </c>
      <c r="O728" s="41">
        <v>-1252.942258</v>
      </c>
      <c r="P728" s="44">
        <v>0</v>
      </c>
      <c r="Q728" s="44">
        <v>0</v>
      </c>
      <c r="R728" s="45">
        <f t="shared" si="158"/>
        <v>0</v>
      </c>
      <c r="S728" s="46">
        <v>11400</v>
      </c>
    </row>
    <row r="729" spans="2:19" ht="15.75" x14ac:dyDescent="0.25">
      <c r="B729" s="38">
        <f t="shared" si="159"/>
        <v>5</v>
      </c>
      <c r="C729" s="38" t="s">
        <v>1030</v>
      </c>
      <c r="D729" s="39" t="s">
        <v>1031</v>
      </c>
      <c r="E729" s="40">
        <v>44377</v>
      </c>
      <c r="F729" s="41">
        <v>3</v>
      </c>
      <c r="G729" s="42">
        <v>10</v>
      </c>
      <c r="H729" s="43">
        <f t="shared" si="156"/>
        <v>0.3</v>
      </c>
      <c r="I729" s="41">
        <v>376.35204800000002</v>
      </c>
      <c r="J729" s="41">
        <v>406.54309899999998</v>
      </c>
      <c r="K729" s="41">
        <v>1195.258906</v>
      </c>
      <c r="L729" s="41">
        <v>1.0919999999999999E-2</v>
      </c>
      <c r="M729" s="41">
        <v>5.2996049999999997</v>
      </c>
      <c r="N729" s="43">
        <f t="shared" si="157"/>
        <v>1.5368869999999997</v>
      </c>
      <c r="O729" s="41">
        <v>3.762718</v>
      </c>
      <c r="P729" s="44">
        <v>30</v>
      </c>
      <c r="Q729" s="44">
        <v>0</v>
      </c>
      <c r="R729" s="45">
        <f t="shared" si="158"/>
        <v>30</v>
      </c>
      <c r="S729" s="46">
        <v>80</v>
      </c>
    </row>
    <row r="730" spans="2:19" ht="15.75" x14ac:dyDescent="0.25">
      <c r="B730" s="38">
        <f t="shared" si="159"/>
        <v>6</v>
      </c>
      <c r="C730" s="72" t="s">
        <v>1032</v>
      </c>
      <c r="D730" s="39" t="s">
        <v>1033</v>
      </c>
      <c r="E730" s="40">
        <v>44377</v>
      </c>
      <c r="F730" s="41">
        <v>318.72000000000003</v>
      </c>
      <c r="G730" s="42">
        <v>10</v>
      </c>
      <c r="H730" s="43">
        <f t="shared" si="156"/>
        <v>31.872000000000003</v>
      </c>
      <c r="I730" s="41">
        <v>938.2</v>
      </c>
      <c r="J730" s="41">
        <v>1681.7829999999999</v>
      </c>
      <c r="K730" s="41">
        <v>2162.7269999999999</v>
      </c>
      <c r="L730" s="41">
        <v>0.44400000000000001</v>
      </c>
      <c r="M730" s="41">
        <v>153.26599999999999</v>
      </c>
      <c r="N730" s="43">
        <f t="shared" si="157"/>
        <v>114.88299999999998</v>
      </c>
      <c r="O730" s="41">
        <v>38.383000000000003</v>
      </c>
      <c r="P730" s="44">
        <v>0</v>
      </c>
      <c r="Q730" s="44">
        <v>0</v>
      </c>
      <c r="R730" s="45">
        <f t="shared" si="158"/>
        <v>0</v>
      </c>
      <c r="S730" s="46">
        <v>988</v>
      </c>
    </row>
    <row r="731" spans="2:19" ht="15.75" x14ac:dyDescent="0.25">
      <c r="B731" s="38">
        <f t="shared" si="159"/>
        <v>7</v>
      </c>
      <c r="C731" s="38" t="s">
        <v>1034</v>
      </c>
      <c r="D731" s="39" t="s">
        <v>1035</v>
      </c>
      <c r="E731" s="40">
        <v>44377</v>
      </c>
      <c r="F731" s="41">
        <v>663.56939999999997</v>
      </c>
      <c r="G731" s="42">
        <v>10</v>
      </c>
      <c r="H731" s="43">
        <f t="shared" si="156"/>
        <v>66.356939999999994</v>
      </c>
      <c r="I731" s="41">
        <v>11274.736644000001</v>
      </c>
      <c r="J731" s="41">
        <v>40989.980861999997</v>
      </c>
      <c r="K731" s="41">
        <v>37307.759872000002</v>
      </c>
      <c r="L731" s="41">
        <v>693.70398399999999</v>
      </c>
      <c r="M731" s="41">
        <v>2213.2457429999999</v>
      </c>
      <c r="N731" s="43">
        <f t="shared" si="157"/>
        <v>436.58043399999997</v>
      </c>
      <c r="O731" s="41">
        <v>1776.665309</v>
      </c>
      <c r="P731" s="44">
        <v>150</v>
      </c>
      <c r="Q731" s="44">
        <v>0</v>
      </c>
      <c r="R731" s="45">
        <f t="shared" si="158"/>
        <v>150</v>
      </c>
      <c r="S731" s="46">
        <v>1525</v>
      </c>
    </row>
    <row r="732" spans="2:19" ht="15.75" x14ac:dyDescent="0.25">
      <c r="B732" s="38">
        <f t="shared" si="159"/>
        <v>8</v>
      </c>
      <c r="C732" s="38" t="s">
        <v>1036</v>
      </c>
      <c r="D732" s="39" t="s">
        <v>1037</v>
      </c>
      <c r="E732" s="40">
        <v>44377</v>
      </c>
      <c r="F732" s="41">
        <v>228.75</v>
      </c>
      <c r="G732" s="42">
        <v>10</v>
      </c>
      <c r="H732" s="43">
        <f t="shared" si="156"/>
        <v>22.875</v>
      </c>
      <c r="I732" s="41">
        <v>836.41805699999998</v>
      </c>
      <c r="J732" s="41">
        <v>1708.656553</v>
      </c>
      <c r="K732" s="41">
        <v>2210.619831</v>
      </c>
      <c r="L732" s="41">
        <v>25.630724000000001</v>
      </c>
      <c r="M732" s="41">
        <v>41.795462999999998</v>
      </c>
      <c r="N732" s="43">
        <f t="shared" si="157"/>
        <v>31.329282999999997</v>
      </c>
      <c r="O732" s="41">
        <v>10.46618</v>
      </c>
      <c r="P732" s="44">
        <v>0</v>
      </c>
      <c r="Q732" s="44">
        <v>0</v>
      </c>
      <c r="R732" s="45">
        <f t="shared" si="158"/>
        <v>0</v>
      </c>
      <c r="S732" s="46">
        <v>984</v>
      </c>
    </row>
    <row r="733" spans="2:19" ht="15.75" x14ac:dyDescent="0.25">
      <c r="B733" s="38">
        <f t="shared" si="159"/>
        <v>9</v>
      </c>
      <c r="C733" s="38" t="s">
        <v>1038</v>
      </c>
      <c r="D733" s="39" t="s">
        <v>1039</v>
      </c>
      <c r="E733" s="40">
        <v>44377</v>
      </c>
      <c r="F733" s="41">
        <v>1224.0070000000001</v>
      </c>
      <c r="G733" s="42">
        <v>10</v>
      </c>
      <c r="H733" s="43">
        <f t="shared" si="156"/>
        <v>122.4007</v>
      </c>
      <c r="I733" s="41">
        <v>6651.118485</v>
      </c>
      <c r="J733" s="41">
        <v>13853.197038</v>
      </c>
      <c r="K733" s="41">
        <v>10556.620789000001</v>
      </c>
      <c r="L733" s="41">
        <v>272.83093100000002</v>
      </c>
      <c r="M733" s="41">
        <v>19.553474999999999</v>
      </c>
      <c r="N733" s="43">
        <f t="shared" si="157"/>
        <v>80.420184000000006</v>
      </c>
      <c r="O733" s="41">
        <v>-60.866709</v>
      </c>
      <c r="P733" s="44">
        <v>0</v>
      </c>
      <c r="Q733" s="44">
        <v>0</v>
      </c>
      <c r="R733" s="45">
        <f t="shared" si="158"/>
        <v>0</v>
      </c>
      <c r="S733" s="46">
        <v>2070</v>
      </c>
    </row>
    <row r="734" spans="2:19" ht="15.75" x14ac:dyDescent="0.25">
      <c r="B734" s="38">
        <f t="shared" si="159"/>
        <v>10</v>
      </c>
      <c r="C734" s="72" t="s">
        <v>1040</v>
      </c>
      <c r="D734" s="39" t="s">
        <v>1041</v>
      </c>
      <c r="E734" s="40">
        <v>44377</v>
      </c>
      <c r="F734" s="41">
        <v>276.63600000000002</v>
      </c>
      <c r="G734" s="42">
        <v>10</v>
      </c>
      <c r="H734" s="43">
        <f t="shared" si="156"/>
        <v>27.663600000000002</v>
      </c>
      <c r="I734" s="41">
        <v>11506.236000000001</v>
      </c>
      <c r="J734" s="41">
        <v>14042.656999999999</v>
      </c>
      <c r="K734" s="41">
        <v>11687.289000000001</v>
      </c>
      <c r="L734" s="41">
        <v>29.512</v>
      </c>
      <c r="M734" s="41">
        <v>1667.8589999999999</v>
      </c>
      <c r="N734" s="43">
        <f t="shared" si="157"/>
        <v>376.38699999999994</v>
      </c>
      <c r="O734" s="41">
        <v>1291.472</v>
      </c>
      <c r="P734" s="44">
        <f>50+100+50+100</f>
        <v>300</v>
      </c>
      <c r="Q734" s="44">
        <v>0</v>
      </c>
      <c r="R734" s="45">
        <f t="shared" si="158"/>
        <v>300</v>
      </c>
      <c r="S734" s="46">
        <v>1223</v>
      </c>
    </row>
    <row r="735" spans="2:19" ht="15.75" x14ac:dyDescent="0.25">
      <c r="B735" s="38">
        <f t="shared" si="159"/>
        <v>11</v>
      </c>
      <c r="C735" s="38" t="s">
        <v>1042</v>
      </c>
      <c r="D735" s="39" t="s">
        <v>1043</v>
      </c>
      <c r="E735" s="40">
        <v>44377</v>
      </c>
      <c r="F735" s="41">
        <v>932.46100000000001</v>
      </c>
      <c r="G735" s="42">
        <v>5</v>
      </c>
      <c r="H735" s="43">
        <f t="shared" si="156"/>
        <v>186.4922</v>
      </c>
      <c r="I735" s="41">
        <v>5476.2550000000001</v>
      </c>
      <c r="J735" s="41">
        <v>15635.591</v>
      </c>
      <c r="K735" s="41">
        <v>23115.797999999999</v>
      </c>
      <c r="L735" s="41">
        <v>136.02000000000001</v>
      </c>
      <c r="M735" s="41">
        <v>1713.8720000000001</v>
      </c>
      <c r="N735" s="43">
        <f t="shared" si="157"/>
        <v>448.68000000000006</v>
      </c>
      <c r="O735" s="41">
        <v>1265.192</v>
      </c>
      <c r="P735" s="44">
        <v>100</v>
      </c>
      <c r="Q735" s="44">
        <v>25</v>
      </c>
      <c r="R735" s="45">
        <f t="shared" si="158"/>
        <v>125</v>
      </c>
      <c r="S735" s="46">
        <v>2913</v>
      </c>
    </row>
    <row r="736" spans="2:19" ht="15.75" x14ac:dyDescent="0.25">
      <c r="B736" s="38">
        <f t="shared" si="159"/>
        <v>12</v>
      </c>
      <c r="C736" s="38" t="s">
        <v>1044</v>
      </c>
      <c r="D736" s="39" t="s">
        <v>1045</v>
      </c>
      <c r="E736" s="40">
        <v>44561</v>
      </c>
      <c r="F736" s="41">
        <v>453.49599999999998</v>
      </c>
      <c r="G736" s="42">
        <v>10</v>
      </c>
      <c r="H736" s="43">
        <f t="shared" si="156"/>
        <v>45.349599999999995</v>
      </c>
      <c r="I736" s="41"/>
      <c r="J736" s="41"/>
      <c r="K736" s="41"/>
      <c r="L736" s="41"/>
      <c r="M736" s="41">
        <v>17953.599999999999</v>
      </c>
      <c r="N736" s="43">
        <f t="shared" si="157"/>
        <v>5185.498999999998</v>
      </c>
      <c r="O736" s="41">
        <v>12768.101000000001</v>
      </c>
      <c r="P736" s="44">
        <f>1150+800+900</f>
        <v>2850</v>
      </c>
      <c r="Q736" s="44">
        <v>0</v>
      </c>
      <c r="R736" s="45">
        <f t="shared" si="158"/>
        <v>2850</v>
      </c>
      <c r="S736" s="46"/>
    </row>
    <row r="737" spans="2:19" ht="15.75" x14ac:dyDescent="0.25">
      <c r="B737" s="38">
        <f t="shared" si="159"/>
        <v>13</v>
      </c>
      <c r="C737" s="38" t="s">
        <v>1046</v>
      </c>
      <c r="D737" s="39" t="s">
        <v>1047</v>
      </c>
      <c r="E737" s="40">
        <v>44377</v>
      </c>
      <c r="F737" s="41">
        <v>1774.6706999999999</v>
      </c>
      <c r="G737" s="42">
        <v>10</v>
      </c>
      <c r="H737" s="43">
        <f t="shared" si="156"/>
        <v>177.46706999999998</v>
      </c>
      <c r="I737" s="41">
        <v>2660.3509690000001</v>
      </c>
      <c r="J737" s="41">
        <v>3939.6229859999999</v>
      </c>
      <c r="K737" s="41">
        <v>4461.011598</v>
      </c>
      <c r="L737" s="41">
        <v>58.096896999999998</v>
      </c>
      <c r="M737" s="41">
        <v>363.43915700000002</v>
      </c>
      <c r="N737" s="43">
        <f t="shared" si="157"/>
        <v>101.16952200000003</v>
      </c>
      <c r="O737" s="41">
        <v>262.26963499999999</v>
      </c>
      <c r="P737" s="44">
        <v>0</v>
      </c>
      <c r="Q737" s="44">
        <v>12</v>
      </c>
      <c r="R737" s="45">
        <f t="shared" si="158"/>
        <v>12</v>
      </c>
      <c r="S737" s="46">
        <v>2038</v>
      </c>
    </row>
    <row r="738" spans="2:19" ht="15.75" x14ac:dyDescent="0.25">
      <c r="B738" s="38">
        <f t="shared" si="159"/>
        <v>14</v>
      </c>
      <c r="C738" s="38" t="s">
        <v>1048</v>
      </c>
      <c r="D738" s="39" t="s">
        <v>1049</v>
      </c>
      <c r="E738" s="40">
        <v>44377</v>
      </c>
      <c r="F738" s="41">
        <v>984.61828000000003</v>
      </c>
      <c r="G738" s="42">
        <v>10</v>
      </c>
      <c r="H738" s="43">
        <f t="shared" si="156"/>
        <v>98.461827999999997</v>
      </c>
      <c r="I738" s="41">
        <v>506.34023000000002</v>
      </c>
      <c r="J738" s="41">
        <v>777.05183999999997</v>
      </c>
      <c r="K738" s="41">
        <v>237.675355</v>
      </c>
      <c r="L738" s="41">
        <v>0.13123099999999999</v>
      </c>
      <c r="M738" s="41">
        <v>-25.680530999999998</v>
      </c>
      <c r="N738" s="43">
        <f t="shared" si="157"/>
        <v>3.6917340000000003</v>
      </c>
      <c r="O738" s="41">
        <v>-29.372264999999999</v>
      </c>
      <c r="P738" s="44">
        <v>0</v>
      </c>
      <c r="Q738" s="44">
        <v>0</v>
      </c>
      <c r="R738" s="45">
        <f t="shared" si="158"/>
        <v>0</v>
      </c>
      <c r="S738" s="46">
        <v>5208</v>
      </c>
    </row>
    <row r="739" spans="2:19" ht="15.75" x14ac:dyDescent="0.25">
      <c r="B739" s="38">
        <f t="shared" si="159"/>
        <v>15</v>
      </c>
      <c r="C739" s="38" t="s">
        <v>1050</v>
      </c>
      <c r="D739" s="39" t="s">
        <v>1051</v>
      </c>
      <c r="E739" s="40">
        <v>44561</v>
      </c>
      <c r="F739" s="41">
        <v>92.364000000000004</v>
      </c>
      <c r="G739" s="42">
        <v>10</v>
      </c>
      <c r="H739" s="43">
        <f t="shared" si="156"/>
        <v>9.2363999999999997</v>
      </c>
      <c r="I739" s="41"/>
      <c r="J739" s="41"/>
      <c r="K739" s="41"/>
      <c r="L739" s="41"/>
      <c r="M739" s="41">
        <v>8940.7340000000004</v>
      </c>
      <c r="N739" s="43">
        <f t="shared" si="157"/>
        <v>2683.4110000000001</v>
      </c>
      <c r="O739" s="41">
        <v>6257.3230000000003</v>
      </c>
      <c r="P739" s="44">
        <f>1500+1500+1500+1500</f>
        <v>6000</v>
      </c>
      <c r="Q739" s="44">
        <v>0</v>
      </c>
      <c r="R739" s="45">
        <f t="shared" si="158"/>
        <v>6000</v>
      </c>
      <c r="S739" s="46"/>
    </row>
    <row r="740" spans="2:19" ht="15.75" x14ac:dyDescent="0.25">
      <c r="B740" s="38">
        <f t="shared" si="159"/>
        <v>16</v>
      </c>
      <c r="C740" s="72" t="s">
        <v>1052</v>
      </c>
      <c r="D740" s="39" t="s">
        <v>1053</v>
      </c>
      <c r="E740" s="40">
        <v>44377</v>
      </c>
      <c r="F740" s="41">
        <v>39</v>
      </c>
      <c r="G740" s="42">
        <v>10</v>
      </c>
      <c r="H740" s="43">
        <f t="shared" si="156"/>
        <v>3.9</v>
      </c>
      <c r="I740" s="41">
        <v>593.99776799999995</v>
      </c>
      <c r="J740" s="41">
        <v>1512.5715399999999</v>
      </c>
      <c r="K740" s="41">
        <v>2148.550393</v>
      </c>
      <c r="L740" s="41">
        <v>52.491216000000001</v>
      </c>
      <c r="M740" s="41">
        <v>227.22239099999999</v>
      </c>
      <c r="N740" s="43">
        <f t="shared" si="157"/>
        <v>72.117617999999993</v>
      </c>
      <c r="O740" s="41">
        <v>155.10477299999999</v>
      </c>
      <c r="P740" s="44">
        <v>20</v>
      </c>
      <c r="Q740" s="44">
        <v>0</v>
      </c>
      <c r="R740" s="45">
        <f t="shared" si="158"/>
        <v>20</v>
      </c>
      <c r="S740" s="46">
        <v>350</v>
      </c>
    </row>
    <row r="741" spans="2:19" ht="15.75" x14ac:dyDescent="0.25">
      <c r="B741" s="38">
        <f t="shared" si="159"/>
        <v>17</v>
      </c>
      <c r="C741" s="72" t="s">
        <v>1054</v>
      </c>
      <c r="D741" s="39" t="s">
        <v>1055</v>
      </c>
      <c r="E741" s="40">
        <v>44377</v>
      </c>
      <c r="F741" s="41">
        <v>87.846000000000004</v>
      </c>
      <c r="G741" s="42">
        <v>10</v>
      </c>
      <c r="H741" s="43">
        <f t="shared" si="156"/>
        <v>8.7846000000000011</v>
      </c>
      <c r="I741" s="41">
        <v>2074.018</v>
      </c>
      <c r="J741" s="41">
        <v>4530.9989999999998</v>
      </c>
      <c r="K741" s="41">
        <v>6584.4520000000002</v>
      </c>
      <c r="L741" s="41">
        <v>124.32</v>
      </c>
      <c r="M741" s="41">
        <v>180.905</v>
      </c>
      <c r="N741" s="43">
        <f t="shared" si="157"/>
        <v>57.926000000000002</v>
      </c>
      <c r="O741" s="41">
        <v>122.979</v>
      </c>
      <c r="P741" s="44">
        <v>55</v>
      </c>
      <c r="Q741" s="44">
        <v>10</v>
      </c>
      <c r="R741" s="45">
        <f t="shared" si="158"/>
        <v>65</v>
      </c>
      <c r="S741" s="46">
        <v>688</v>
      </c>
    </row>
    <row r="742" spans="2:19" ht="15.75" x14ac:dyDescent="0.25">
      <c r="B742" s="38">
        <f t="shared" si="159"/>
        <v>18</v>
      </c>
      <c r="C742" s="72" t="s">
        <v>1056</v>
      </c>
      <c r="D742" s="39" t="s">
        <v>1057</v>
      </c>
      <c r="E742" s="40">
        <v>44377</v>
      </c>
      <c r="F742" s="41">
        <v>1118.17777</v>
      </c>
      <c r="G742" s="42">
        <v>10</v>
      </c>
      <c r="H742" s="43">
        <f t="shared" si="156"/>
        <v>111.81777700000001</v>
      </c>
      <c r="I742" s="41">
        <v>2743.533504</v>
      </c>
      <c r="J742" s="41">
        <v>3643.3171689999999</v>
      </c>
      <c r="K742" s="41">
        <v>3927.8241410000001</v>
      </c>
      <c r="L742" s="41">
        <v>89.375878</v>
      </c>
      <c r="M742" s="41">
        <v>340.49996800000002</v>
      </c>
      <c r="N742" s="43">
        <f t="shared" si="157"/>
        <v>37.027931000000024</v>
      </c>
      <c r="O742" s="41">
        <v>303.472037</v>
      </c>
      <c r="P742" s="44">
        <v>0</v>
      </c>
      <c r="Q742" s="44">
        <v>10</v>
      </c>
      <c r="R742" s="45">
        <f t="shared" ref="R742" si="160">SUM(P742:Q742)</f>
        <v>10</v>
      </c>
      <c r="S742" s="46">
        <v>2609</v>
      </c>
    </row>
    <row r="743" spans="2:19" ht="15.75" x14ac:dyDescent="0.25">
      <c r="B743" s="38">
        <f t="shared" si="159"/>
        <v>19</v>
      </c>
      <c r="C743" s="72" t="s">
        <v>1058</v>
      </c>
      <c r="D743" s="39" t="s">
        <v>1059</v>
      </c>
      <c r="E743" s="40">
        <v>44377</v>
      </c>
      <c r="F743" s="41">
        <v>1748.3430000000001</v>
      </c>
      <c r="G743" s="42">
        <v>10</v>
      </c>
      <c r="H743" s="43">
        <f t="shared" si="156"/>
        <v>174.83430000000001</v>
      </c>
      <c r="I743" s="41">
        <v>14298.808999999999</v>
      </c>
      <c r="J743" s="41">
        <f>18586.514+5222.222</f>
        <v>23808.735999999997</v>
      </c>
      <c r="K743" s="41">
        <v>7573.5429999999997</v>
      </c>
      <c r="L743" s="41">
        <v>695.69899999999996</v>
      </c>
      <c r="M743" s="41">
        <v>1990.0609999999999</v>
      </c>
      <c r="N743" s="43">
        <f t="shared" si="157"/>
        <v>451.36599999999999</v>
      </c>
      <c r="O743" s="41">
        <v>1538.6949999999999</v>
      </c>
      <c r="P743" s="44">
        <v>10</v>
      </c>
      <c r="Q743" s="44">
        <v>0</v>
      </c>
      <c r="R743" s="45">
        <f t="shared" si="158"/>
        <v>10</v>
      </c>
      <c r="S743" s="46">
        <v>7179</v>
      </c>
    </row>
    <row r="744" spans="2:19" ht="15.75" x14ac:dyDescent="0.25">
      <c r="B744" s="38">
        <f t="shared" si="159"/>
        <v>20</v>
      </c>
      <c r="C744" s="72" t="s">
        <v>1060</v>
      </c>
      <c r="D744" s="39" t="s">
        <v>1061</v>
      </c>
      <c r="E744" s="40">
        <v>44377</v>
      </c>
      <c r="F744" s="41">
        <v>9940.5</v>
      </c>
      <c r="G744" s="42">
        <v>10</v>
      </c>
      <c r="H744" s="43">
        <f>+F744/G744</f>
        <v>994.05</v>
      </c>
      <c r="I744" s="41">
        <v>13379.279398000001</v>
      </c>
      <c r="J744" s="41">
        <v>42538.374951999998</v>
      </c>
      <c r="K744" s="41">
        <v>66400.968204000004</v>
      </c>
      <c r="L744" s="41">
        <v>880.12192100000004</v>
      </c>
      <c r="M744" s="41">
        <v>3389.1317009999998</v>
      </c>
      <c r="N744" s="43">
        <f>+M744-O744</f>
        <v>277.39220899999964</v>
      </c>
      <c r="O744" s="41">
        <v>3111.7394920000002</v>
      </c>
      <c r="P744" s="44">
        <v>0</v>
      </c>
      <c r="Q744" s="44">
        <v>0</v>
      </c>
      <c r="R744" s="45">
        <f>SUM(P744:Q744)</f>
        <v>0</v>
      </c>
      <c r="S744" s="46">
        <v>7620</v>
      </c>
    </row>
    <row r="745" spans="2:19" ht="15.75" x14ac:dyDescent="0.25">
      <c r="B745" s="38">
        <f t="shared" si="159"/>
        <v>21</v>
      </c>
      <c r="C745" s="38" t="s">
        <v>1062</v>
      </c>
      <c r="D745" s="39" t="s">
        <v>1063</v>
      </c>
      <c r="E745" s="40">
        <v>44561</v>
      </c>
      <c r="F745" s="41">
        <v>63.698999999999998</v>
      </c>
      <c r="G745" s="42">
        <v>10</v>
      </c>
      <c r="H745" s="43">
        <f t="shared" si="156"/>
        <v>6.3698999999999995</v>
      </c>
      <c r="I745" s="41"/>
      <c r="J745" s="41"/>
      <c r="K745" s="41"/>
      <c r="L745" s="41"/>
      <c r="M745" s="41">
        <v>5422.8360000000002</v>
      </c>
      <c r="N745" s="43">
        <f t="shared" si="157"/>
        <v>253.35900000000038</v>
      </c>
      <c r="O745" s="41">
        <v>5169.4769999999999</v>
      </c>
      <c r="P745" s="44">
        <f>2280+1510+1870+2450</f>
        <v>8110</v>
      </c>
      <c r="Q745" s="44">
        <v>0</v>
      </c>
      <c r="R745" s="45">
        <f t="shared" si="158"/>
        <v>8110</v>
      </c>
      <c r="S745" s="46"/>
    </row>
    <row r="746" spans="2:19" ht="15.75" x14ac:dyDescent="0.25">
      <c r="B746" s="38">
        <f t="shared" si="159"/>
        <v>22</v>
      </c>
      <c r="C746" s="72" t="s">
        <v>1064</v>
      </c>
      <c r="D746" s="39" t="s">
        <v>1065</v>
      </c>
      <c r="E746" s="40">
        <v>44561</v>
      </c>
      <c r="F746" s="41"/>
      <c r="G746" s="42">
        <v>10</v>
      </c>
      <c r="H746" s="43">
        <f t="shared" si="156"/>
        <v>0</v>
      </c>
      <c r="I746" s="41"/>
      <c r="J746" s="41"/>
      <c r="K746" s="41"/>
      <c r="L746" s="41"/>
      <c r="M746" s="41"/>
      <c r="N746" s="43">
        <f t="shared" si="157"/>
        <v>0</v>
      </c>
      <c r="O746" s="41"/>
      <c r="P746" s="44"/>
      <c r="Q746" s="44"/>
      <c r="R746" s="45">
        <f t="shared" si="158"/>
        <v>0</v>
      </c>
      <c r="S746" s="46"/>
    </row>
    <row r="747" spans="2:19" ht="15.75" x14ac:dyDescent="0.25">
      <c r="B747" s="47"/>
      <c r="C747" s="75"/>
      <c r="D747" s="48"/>
      <c r="E747" s="49"/>
      <c r="F747" s="50"/>
      <c r="G747" s="51"/>
      <c r="H747" s="52"/>
      <c r="I747" s="50"/>
      <c r="J747" s="50"/>
      <c r="K747" s="50"/>
      <c r="L747" s="50"/>
      <c r="M747" s="50"/>
      <c r="N747" s="52"/>
      <c r="O747" s="50"/>
      <c r="P747" s="53"/>
      <c r="Q747" s="53"/>
      <c r="R747" s="54"/>
      <c r="S747" s="55"/>
    </row>
    <row r="748" spans="2:19" ht="18.75" x14ac:dyDescent="0.3">
      <c r="B748" s="32"/>
      <c r="C748" s="32"/>
      <c r="D748" s="68" t="s">
        <v>41</v>
      </c>
      <c r="E748" s="33"/>
      <c r="F748" s="32"/>
      <c r="G748" s="51"/>
      <c r="H748" s="57"/>
      <c r="I748" s="35"/>
      <c r="J748" s="35"/>
      <c r="K748" s="35"/>
      <c r="L748" s="35"/>
      <c r="M748" s="35"/>
      <c r="N748" s="58"/>
      <c r="O748" s="35"/>
      <c r="P748" s="35"/>
      <c r="Q748" s="35"/>
      <c r="R748" s="58"/>
      <c r="S748" s="35"/>
    </row>
    <row r="749" spans="2:19" ht="15.75" x14ac:dyDescent="0.25">
      <c r="B749" s="72">
        <v>1</v>
      </c>
      <c r="C749" s="38" t="s">
        <v>1066</v>
      </c>
      <c r="D749" s="39" t="s">
        <v>1067</v>
      </c>
      <c r="E749" s="40">
        <v>44377</v>
      </c>
      <c r="F749" s="41">
        <v>311.43099999999998</v>
      </c>
      <c r="G749" s="42">
        <v>10</v>
      </c>
      <c r="H749" s="43">
        <f>+F749/G749</f>
        <v>31.143099999999997</v>
      </c>
      <c r="I749" s="41">
        <v>267.149</v>
      </c>
      <c r="J749" s="41">
        <v>305.80500000000001</v>
      </c>
      <c r="K749" s="41">
        <v>374.43700000000001</v>
      </c>
      <c r="L749" s="41">
        <v>1.4990000000000001</v>
      </c>
      <c r="M749" s="41">
        <v>-567.12300000000005</v>
      </c>
      <c r="N749" s="43">
        <f>+M749-O749</f>
        <v>37.875999999999976</v>
      </c>
      <c r="O749" s="41">
        <v>-604.99900000000002</v>
      </c>
      <c r="P749" s="44">
        <v>0</v>
      </c>
      <c r="Q749" s="44">
        <v>0</v>
      </c>
      <c r="R749" s="45">
        <f>SUM(P749:Q749)</f>
        <v>0</v>
      </c>
      <c r="S749" s="46">
        <v>2577</v>
      </c>
    </row>
    <row r="750" spans="2:19" ht="15.75" x14ac:dyDescent="0.25">
      <c r="B750" s="72">
        <f>+B749+1</f>
        <v>2</v>
      </c>
      <c r="C750" s="72" t="s">
        <v>1068</v>
      </c>
      <c r="D750" s="39" t="s">
        <v>1069</v>
      </c>
      <c r="E750" s="40">
        <v>44377</v>
      </c>
      <c r="F750" s="41"/>
      <c r="G750" s="42">
        <v>10</v>
      </c>
      <c r="H750" s="43">
        <f>+F750/G750</f>
        <v>0</v>
      </c>
      <c r="I750" s="41"/>
      <c r="J750" s="41"/>
      <c r="K750" s="41"/>
      <c r="L750" s="41"/>
      <c r="M750" s="41"/>
      <c r="N750" s="43">
        <f>+M750-O750</f>
        <v>0</v>
      </c>
      <c r="O750" s="41"/>
      <c r="P750" s="44"/>
      <c r="Q750" s="44"/>
      <c r="R750" s="45">
        <f>SUM(P750:Q750)</f>
        <v>0</v>
      </c>
      <c r="S750" s="46"/>
    </row>
    <row r="751" spans="2:19" ht="15.75" x14ac:dyDescent="0.25">
      <c r="B751" s="32"/>
      <c r="C751" s="32"/>
      <c r="D751" s="32"/>
      <c r="E751" s="33"/>
      <c r="F751" s="32"/>
      <c r="G751" s="51"/>
      <c r="H751" s="57"/>
      <c r="I751" s="35"/>
      <c r="J751" s="35"/>
      <c r="K751" s="35"/>
      <c r="L751" s="35"/>
      <c r="M751" s="35"/>
      <c r="N751" s="58"/>
      <c r="O751" s="35"/>
      <c r="P751" s="35"/>
      <c r="Q751" s="35"/>
      <c r="R751" s="58"/>
      <c r="S751" s="35"/>
    </row>
    <row r="752" spans="2:19" ht="15.75" x14ac:dyDescent="0.25">
      <c r="B752" s="38">
        <f>COUNT(B725:B751)</f>
        <v>24</v>
      </c>
      <c r="C752" s="38"/>
      <c r="D752" s="60"/>
      <c r="E752" s="40"/>
      <c r="F752" s="60">
        <f>SUM(F725:F751)</f>
        <v>47435.572440000004</v>
      </c>
      <c r="G752" s="61"/>
      <c r="H752" s="62">
        <f t="shared" ref="H752:O752" si="161">SUM(H725:H751)</f>
        <v>4836.8033440000008</v>
      </c>
      <c r="I752" s="60">
        <f t="shared" si="161"/>
        <v>85278.425675999999</v>
      </c>
      <c r="J752" s="60">
        <f t="shared" si="161"/>
        <v>196168.33140899998</v>
      </c>
      <c r="K752" s="60">
        <f t="shared" si="161"/>
        <v>197468.48368700003</v>
      </c>
      <c r="L752" s="60">
        <f t="shared" si="161"/>
        <v>4480.3804819999996</v>
      </c>
      <c r="M752" s="60">
        <f t="shared" si="161"/>
        <v>45443.488062999997</v>
      </c>
      <c r="N752" s="63">
        <f t="shared" si="161"/>
        <v>11221.498437999999</v>
      </c>
      <c r="O752" s="60">
        <f t="shared" si="161"/>
        <v>34221.989624999995</v>
      </c>
      <c r="P752" s="64"/>
      <c r="Q752" s="64"/>
      <c r="R752" s="65"/>
      <c r="S752" s="66">
        <f>SUM(S725:S751)</f>
        <v>58617</v>
      </c>
    </row>
    <row r="753" spans="2:19" ht="15.75" x14ac:dyDescent="0.25">
      <c r="B753" s="32"/>
      <c r="C753" s="32"/>
      <c r="D753" s="32"/>
      <c r="E753" s="33"/>
      <c r="F753" s="32"/>
      <c r="G753" s="51"/>
      <c r="H753" s="57"/>
      <c r="I753" s="35"/>
      <c r="J753" s="35"/>
      <c r="K753" s="35"/>
      <c r="L753" s="35"/>
      <c r="M753" s="35"/>
      <c r="N753" s="58"/>
      <c r="O753" s="35"/>
      <c r="P753" s="35"/>
      <c r="Q753" s="35"/>
      <c r="R753" s="58"/>
      <c r="S753" s="35"/>
    </row>
    <row r="754" spans="2:19" ht="15.75" x14ac:dyDescent="0.25">
      <c r="B754" s="32"/>
      <c r="C754" s="32"/>
      <c r="D754" s="32"/>
      <c r="E754" s="33"/>
      <c r="F754" s="32"/>
      <c r="G754" s="51"/>
      <c r="H754" s="57"/>
      <c r="I754" s="35"/>
      <c r="J754" s="35"/>
      <c r="K754" s="35"/>
      <c r="L754" s="35"/>
      <c r="M754" s="35"/>
      <c r="N754" s="58"/>
      <c r="O754" s="35"/>
      <c r="P754" s="35"/>
      <c r="Q754" s="35"/>
      <c r="R754" s="58"/>
      <c r="S754" s="35"/>
    </row>
    <row r="755" spans="2:19" ht="18.75" x14ac:dyDescent="0.3">
      <c r="B755" s="32"/>
      <c r="C755" s="37">
        <v>34</v>
      </c>
      <c r="D755" s="37" t="s">
        <v>1070</v>
      </c>
      <c r="E755" s="73"/>
      <c r="F755" s="74"/>
      <c r="G755" s="51"/>
      <c r="H755" s="57"/>
      <c r="I755" s="35"/>
      <c r="J755" s="35"/>
      <c r="K755" s="35"/>
      <c r="L755" s="35"/>
      <c r="M755" s="35"/>
      <c r="N755" s="58"/>
      <c r="O755" s="35"/>
      <c r="P755" s="35"/>
      <c r="Q755" s="35"/>
      <c r="R755" s="58"/>
      <c r="S755" s="35"/>
    </row>
    <row r="756" spans="2:19" ht="15.75" x14ac:dyDescent="0.25">
      <c r="B756" s="32"/>
      <c r="C756" s="32"/>
      <c r="D756" s="32"/>
      <c r="E756" s="33"/>
      <c r="F756" s="32"/>
      <c r="G756" s="51"/>
      <c r="H756" s="57"/>
      <c r="I756" s="35"/>
      <c r="J756" s="35"/>
      <c r="K756" s="35"/>
      <c r="L756" s="35"/>
      <c r="M756" s="35"/>
      <c r="N756" s="58"/>
      <c r="O756" s="35"/>
      <c r="P756" s="35"/>
      <c r="Q756" s="35"/>
      <c r="R756" s="58"/>
      <c r="S756" s="35"/>
    </row>
    <row r="757" spans="2:19" ht="15.75" x14ac:dyDescent="0.25">
      <c r="B757" s="38">
        <v>1</v>
      </c>
      <c r="C757" s="38" t="s">
        <v>1071</v>
      </c>
      <c r="D757" s="39" t="s">
        <v>1072</v>
      </c>
      <c r="E757" s="40">
        <v>44377</v>
      </c>
      <c r="F757" s="41">
        <v>2616</v>
      </c>
      <c r="G757" s="42">
        <v>10</v>
      </c>
      <c r="H757" s="43">
        <f t="shared" ref="H757:H764" si="162">+F757/G757</f>
        <v>261.60000000000002</v>
      </c>
      <c r="I757" s="41">
        <v>1381.8209999999999</v>
      </c>
      <c r="J757" s="41">
        <v>3117.5990000000002</v>
      </c>
      <c r="K757" s="41">
        <v>1252.22</v>
      </c>
      <c r="L757" s="41">
        <v>87.17</v>
      </c>
      <c r="M757" s="41">
        <v>46.055999999999997</v>
      </c>
      <c r="N757" s="43">
        <f t="shared" ref="N757:N764" si="163">+M757-O757</f>
        <v>20.598999999999997</v>
      </c>
      <c r="O757" s="41">
        <v>25.457000000000001</v>
      </c>
      <c r="P757" s="44">
        <v>0</v>
      </c>
      <c r="Q757" s="44">
        <v>0</v>
      </c>
      <c r="R757" s="45">
        <f t="shared" ref="R757:R764" si="164">SUM(P757:Q757)</f>
        <v>0</v>
      </c>
      <c r="S757" s="46">
        <v>4177</v>
      </c>
    </row>
    <row r="758" spans="2:19" ht="15.75" x14ac:dyDescent="0.25">
      <c r="B758" s="38">
        <f>+B757+1</f>
        <v>2</v>
      </c>
      <c r="C758" s="38" t="s">
        <v>1073</v>
      </c>
      <c r="D758" s="39" t="s">
        <v>1074</v>
      </c>
      <c r="E758" s="40">
        <v>44377</v>
      </c>
      <c r="F758" s="41">
        <v>378.73820999999998</v>
      </c>
      <c r="G758" s="42">
        <v>10</v>
      </c>
      <c r="H758" s="43">
        <f t="shared" si="162"/>
        <v>37.873821</v>
      </c>
      <c r="I758" s="41">
        <v>1682.0119010000001</v>
      </c>
      <c r="J758" s="41">
        <v>3091.7075159999999</v>
      </c>
      <c r="K758" s="41">
        <v>2828.9524339999998</v>
      </c>
      <c r="L758" s="41">
        <v>32.266303999999998</v>
      </c>
      <c r="M758" s="41">
        <v>149.41506100000001</v>
      </c>
      <c r="N758" s="43">
        <f t="shared" si="163"/>
        <v>48.722853000000015</v>
      </c>
      <c r="O758" s="41">
        <v>100.69220799999999</v>
      </c>
      <c r="P758" s="44">
        <v>0</v>
      </c>
      <c r="Q758" s="44">
        <v>0</v>
      </c>
      <c r="R758" s="45">
        <f t="shared" si="164"/>
        <v>0</v>
      </c>
      <c r="S758" s="46">
        <v>868</v>
      </c>
    </row>
    <row r="759" spans="2:19" ht="15.75" x14ac:dyDescent="0.25">
      <c r="B759" s="38">
        <f t="shared" ref="B759:B764" si="165">+B758+1</f>
        <v>3</v>
      </c>
      <c r="C759" s="38" t="s">
        <v>1075</v>
      </c>
      <c r="D759" s="39" t="s">
        <v>1076</v>
      </c>
      <c r="E759" s="40">
        <v>44377</v>
      </c>
      <c r="F759" s="41">
        <v>2400</v>
      </c>
      <c r="G759" s="42">
        <v>10</v>
      </c>
      <c r="H759" s="43">
        <f>+F759/G759</f>
        <v>240</v>
      </c>
      <c r="I759" s="41">
        <v>2271.595757</v>
      </c>
      <c r="J759" s="41">
        <v>3144.9061179999999</v>
      </c>
      <c r="K759" s="41">
        <v>1398.1682639999999</v>
      </c>
      <c r="L759" s="41">
        <v>110.444399</v>
      </c>
      <c r="M759" s="41">
        <v>156.053808</v>
      </c>
      <c r="N759" s="43">
        <f>+M759-O759</f>
        <v>22.93408500000001</v>
      </c>
      <c r="O759" s="41">
        <v>133.11972299999999</v>
      </c>
      <c r="P759" s="44">
        <v>0</v>
      </c>
      <c r="Q759" s="44">
        <v>0</v>
      </c>
      <c r="R759" s="45">
        <f>SUM(P759:Q759)</f>
        <v>0</v>
      </c>
      <c r="S759" s="46">
        <v>6125</v>
      </c>
    </row>
    <row r="760" spans="2:19" ht="15.75" x14ac:dyDescent="0.25">
      <c r="B760" s="38">
        <f t="shared" si="165"/>
        <v>4</v>
      </c>
      <c r="C760" s="38" t="s">
        <v>1077</v>
      </c>
      <c r="D760" s="39" t="s">
        <v>1078</v>
      </c>
      <c r="E760" s="40">
        <v>44377</v>
      </c>
      <c r="F760" s="41">
        <v>8393.9113199999993</v>
      </c>
      <c r="G760" s="42">
        <v>10</v>
      </c>
      <c r="H760" s="43">
        <f t="shared" si="162"/>
        <v>839.39113199999997</v>
      </c>
      <c r="I760" s="41">
        <v>17099.652589000001</v>
      </c>
      <c r="J760" s="41">
        <v>26561.704339</v>
      </c>
      <c r="K760" s="41">
        <v>21470.563224000001</v>
      </c>
      <c r="L760" s="41">
        <v>141.244079</v>
      </c>
      <c r="M760" s="41">
        <v>3170.286885</v>
      </c>
      <c r="N760" s="43">
        <f t="shared" si="163"/>
        <v>-45.363949000000048</v>
      </c>
      <c r="O760" s="41">
        <v>3215.650834</v>
      </c>
      <c r="P760" s="44">
        <f>65+20+10</f>
        <v>95</v>
      </c>
      <c r="Q760" s="44">
        <v>0</v>
      </c>
      <c r="R760" s="45">
        <f t="shared" si="164"/>
        <v>95</v>
      </c>
      <c r="S760" s="46">
        <v>4484</v>
      </c>
    </row>
    <row r="761" spans="2:19" ht="15.75" x14ac:dyDescent="0.25">
      <c r="B761" s="38">
        <f t="shared" si="165"/>
        <v>5</v>
      </c>
      <c r="C761" s="72" t="s">
        <v>1079</v>
      </c>
      <c r="D761" s="39" t="s">
        <v>1080</v>
      </c>
      <c r="E761" s="40">
        <v>44377</v>
      </c>
      <c r="F761" s="41">
        <v>580.31272999999999</v>
      </c>
      <c r="G761" s="42">
        <v>10</v>
      </c>
      <c r="H761" s="43">
        <f t="shared" si="162"/>
        <v>58.031272999999999</v>
      </c>
      <c r="I761" s="41">
        <v>1974.706762</v>
      </c>
      <c r="J761" s="41">
        <v>2555.3517609999999</v>
      </c>
      <c r="K761" s="41">
        <v>2557.9444880000001</v>
      </c>
      <c r="L761" s="41">
        <v>0</v>
      </c>
      <c r="M761" s="41">
        <v>526.578665</v>
      </c>
      <c r="N761" s="43">
        <f t="shared" si="163"/>
        <v>-62.965102999999999</v>
      </c>
      <c r="O761" s="41">
        <v>589.543768</v>
      </c>
      <c r="P761" s="44">
        <v>60</v>
      </c>
      <c r="Q761" s="44">
        <v>0</v>
      </c>
      <c r="R761" s="45">
        <f t="shared" si="164"/>
        <v>60</v>
      </c>
      <c r="S761" s="46">
        <v>949</v>
      </c>
    </row>
    <row r="762" spans="2:19" ht="15.75" x14ac:dyDescent="0.25">
      <c r="B762" s="38">
        <f t="shared" si="165"/>
        <v>6</v>
      </c>
      <c r="C762" s="38" t="s">
        <v>1081</v>
      </c>
      <c r="D762" s="39" t="s">
        <v>1082</v>
      </c>
      <c r="E762" s="40">
        <v>44377</v>
      </c>
      <c r="F762" s="41">
        <v>145.48676</v>
      </c>
      <c r="G762" s="42">
        <v>10</v>
      </c>
      <c r="H762" s="43">
        <f t="shared" si="162"/>
        <v>14.548676</v>
      </c>
      <c r="I762" s="41">
        <v>800.376938</v>
      </c>
      <c r="J762" s="41">
        <v>1982.56674</v>
      </c>
      <c r="K762" s="41">
        <v>1126.645068</v>
      </c>
      <c r="L762" s="41">
        <v>88.309741000000002</v>
      </c>
      <c r="M762" s="41">
        <v>-7.8019259999999999</v>
      </c>
      <c r="N762" s="43">
        <f t="shared" si="163"/>
        <v>-49.431251000000003</v>
      </c>
      <c r="O762" s="41">
        <v>41.629325000000001</v>
      </c>
      <c r="P762" s="44">
        <v>0</v>
      </c>
      <c r="Q762" s="44">
        <v>0</v>
      </c>
      <c r="R762" s="45">
        <f t="shared" si="164"/>
        <v>0</v>
      </c>
      <c r="S762" s="46">
        <v>317</v>
      </c>
    </row>
    <row r="763" spans="2:19" ht="15.75" x14ac:dyDescent="0.25">
      <c r="B763" s="38">
        <f t="shared" si="165"/>
        <v>7</v>
      </c>
      <c r="C763" s="38" t="s">
        <v>1083</v>
      </c>
      <c r="D763" s="39" t="s">
        <v>1084</v>
      </c>
      <c r="E763" s="40">
        <v>44377</v>
      </c>
      <c r="F763" s="41">
        <v>1196.5999999999999</v>
      </c>
      <c r="G763" s="42">
        <v>5</v>
      </c>
      <c r="H763" s="43">
        <f t="shared" si="162"/>
        <v>239.32</v>
      </c>
      <c r="I763" s="41">
        <v>2643.9360000000001</v>
      </c>
      <c r="J763" s="41">
        <v>7023.625</v>
      </c>
      <c r="K763" s="41">
        <v>9904.4979999999996</v>
      </c>
      <c r="L763" s="41">
        <v>107.444</v>
      </c>
      <c r="M763" s="41">
        <v>1449.742</v>
      </c>
      <c r="N763" s="43">
        <f t="shared" si="163"/>
        <v>524.85399999999993</v>
      </c>
      <c r="O763" s="41">
        <v>924.88800000000003</v>
      </c>
      <c r="P763" s="44">
        <v>25</v>
      </c>
      <c r="Q763" s="44">
        <v>0</v>
      </c>
      <c r="R763" s="45">
        <f t="shared" si="164"/>
        <v>25</v>
      </c>
      <c r="S763" s="46">
        <v>3405</v>
      </c>
    </row>
    <row r="764" spans="2:19" ht="15.75" x14ac:dyDescent="0.25">
      <c r="B764" s="38">
        <f t="shared" si="165"/>
        <v>8</v>
      </c>
      <c r="C764" s="72" t="s">
        <v>1085</v>
      </c>
      <c r="D764" s="39" t="s">
        <v>1086</v>
      </c>
      <c r="E764" s="40">
        <v>44377</v>
      </c>
      <c r="F764" s="41">
        <v>1377.3375000000001</v>
      </c>
      <c r="G764" s="42">
        <v>10</v>
      </c>
      <c r="H764" s="43">
        <f t="shared" si="162"/>
        <v>137.73375000000001</v>
      </c>
      <c r="I764" s="41">
        <v>10600.432228</v>
      </c>
      <c r="J764" s="41">
        <v>18777.074818000001</v>
      </c>
      <c r="K764" s="41">
        <v>19103.346927999999</v>
      </c>
      <c r="L764" s="41">
        <v>313.160484</v>
      </c>
      <c r="M764" s="41">
        <v>2958.7021370000002</v>
      </c>
      <c r="N764" s="43">
        <f t="shared" si="163"/>
        <v>849.33262700000023</v>
      </c>
      <c r="O764" s="41">
        <v>2109.36951</v>
      </c>
      <c r="P764" s="44">
        <v>120</v>
      </c>
      <c r="Q764" s="44">
        <f>25</f>
        <v>25</v>
      </c>
      <c r="R764" s="45">
        <f t="shared" si="164"/>
        <v>145</v>
      </c>
      <c r="S764" s="46">
        <v>3276</v>
      </c>
    </row>
    <row r="765" spans="2:19" ht="15.75" x14ac:dyDescent="0.25">
      <c r="B765" s="32"/>
      <c r="C765" s="32"/>
      <c r="D765" s="32"/>
      <c r="E765" s="33"/>
      <c r="F765" s="32"/>
      <c r="G765" s="51"/>
      <c r="H765" s="57"/>
      <c r="I765" s="35"/>
      <c r="J765" s="35"/>
      <c r="K765" s="35"/>
      <c r="L765" s="35"/>
      <c r="M765" s="35"/>
      <c r="N765" s="58"/>
      <c r="O765" s="35"/>
      <c r="P765" s="35"/>
      <c r="Q765" s="35"/>
      <c r="R765" s="58"/>
      <c r="S765" s="35"/>
    </row>
    <row r="766" spans="2:19" ht="18.75" x14ac:dyDescent="0.3">
      <c r="B766" s="32"/>
      <c r="C766" s="32"/>
      <c r="D766" s="68" t="s">
        <v>41</v>
      </c>
      <c r="E766" s="33"/>
      <c r="F766" s="32"/>
      <c r="G766" s="51"/>
      <c r="H766" s="57"/>
      <c r="I766" s="35"/>
      <c r="J766" s="35"/>
      <c r="K766" s="35"/>
      <c r="L766" s="35"/>
      <c r="M766" s="35"/>
      <c r="N766" s="58"/>
      <c r="O766" s="35"/>
      <c r="P766" s="35"/>
      <c r="Q766" s="35"/>
      <c r="R766" s="58"/>
      <c r="S766" s="35"/>
    </row>
    <row r="767" spans="2:19" ht="15.75" x14ac:dyDescent="0.25">
      <c r="B767" s="72">
        <v>1</v>
      </c>
      <c r="C767" s="72" t="s">
        <v>1087</v>
      </c>
      <c r="D767" s="39" t="s">
        <v>1088</v>
      </c>
      <c r="E767" s="40">
        <v>44377</v>
      </c>
      <c r="F767" s="41"/>
      <c r="G767" s="42">
        <v>10</v>
      </c>
      <c r="H767" s="43">
        <f>+F767/G767</f>
        <v>0</v>
      </c>
      <c r="I767" s="41"/>
      <c r="J767" s="41"/>
      <c r="K767" s="41"/>
      <c r="L767" s="41"/>
      <c r="M767" s="41"/>
      <c r="N767" s="43">
        <f>+M767-O767</f>
        <v>0</v>
      </c>
      <c r="O767" s="41"/>
      <c r="P767" s="44"/>
      <c r="Q767" s="44"/>
      <c r="R767" s="45">
        <f>SUM(P767:Q767)</f>
        <v>0</v>
      </c>
      <c r="S767" s="46"/>
    </row>
    <row r="768" spans="2:19" ht="15.75" x14ac:dyDescent="0.25">
      <c r="B768" s="32"/>
      <c r="C768" s="32"/>
      <c r="D768" s="32"/>
      <c r="E768" s="33"/>
      <c r="F768" s="32"/>
      <c r="G768" s="51"/>
      <c r="H768" s="57"/>
      <c r="I768" s="35"/>
      <c r="J768" s="35"/>
      <c r="K768" s="35"/>
      <c r="L768" s="35"/>
      <c r="M768" s="35"/>
      <c r="N768" s="58"/>
      <c r="O768" s="35"/>
      <c r="P768" s="35"/>
      <c r="Q768" s="35"/>
      <c r="R768" s="58"/>
      <c r="S768" s="35"/>
    </row>
    <row r="769" spans="2:19" ht="15.75" x14ac:dyDescent="0.25">
      <c r="B769" s="38">
        <f>COUNT(B757:B768)</f>
        <v>9</v>
      </c>
      <c r="C769" s="38"/>
      <c r="D769" s="60"/>
      <c r="E769" s="40"/>
      <c r="F769" s="60">
        <f>SUM(F757:F768)</f>
        <v>17088.38652</v>
      </c>
      <c r="G769" s="61"/>
      <c r="H769" s="62">
        <f t="shared" ref="H769:O769" si="166">SUM(H757:H768)</f>
        <v>1828.4986520000002</v>
      </c>
      <c r="I769" s="60">
        <f t="shared" si="166"/>
        <v>38454.533175000004</v>
      </c>
      <c r="J769" s="60">
        <f t="shared" si="166"/>
        <v>66254.535292</v>
      </c>
      <c r="K769" s="60">
        <f t="shared" si="166"/>
        <v>59642.338406000003</v>
      </c>
      <c r="L769" s="60">
        <f t="shared" si="166"/>
        <v>880.03900699999997</v>
      </c>
      <c r="M769" s="60">
        <f t="shared" si="166"/>
        <v>8449.0326299999997</v>
      </c>
      <c r="N769" s="63">
        <f t="shared" si="166"/>
        <v>1308.6822620000003</v>
      </c>
      <c r="O769" s="60">
        <f t="shared" si="166"/>
        <v>7140.3503679999994</v>
      </c>
      <c r="P769" s="64"/>
      <c r="Q769" s="64"/>
      <c r="R769" s="65"/>
      <c r="S769" s="66">
        <f>SUM(S757:S768)</f>
        <v>23601</v>
      </c>
    </row>
    <row r="770" spans="2:19" ht="15.75" x14ac:dyDescent="0.25">
      <c r="B770" s="32"/>
      <c r="C770" s="32"/>
      <c r="D770" s="32"/>
      <c r="E770" s="33"/>
      <c r="F770" s="32"/>
      <c r="G770" s="51"/>
      <c r="H770" s="57"/>
      <c r="I770" s="35"/>
      <c r="J770" s="35"/>
      <c r="K770" s="35"/>
      <c r="L770" s="35"/>
      <c r="M770" s="35"/>
      <c r="N770" s="58"/>
      <c r="O770" s="35"/>
      <c r="P770" s="35"/>
      <c r="Q770" s="35"/>
      <c r="R770" s="58"/>
      <c r="S770" s="35"/>
    </row>
    <row r="771" spans="2:19" ht="15.75" x14ac:dyDescent="0.25">
      <c r="B771" s="32"/>
      <c r="C771" s="32"/>
      <c r="D771" s="32"/>
      <c r="E771" s="33"/>
      <c r="F771" s="32"/>
      <c r="G771" s="51"/>
      <c r="H771" s="57"/>
      <c r="I771" s="35"/>
      <c r="J771" s="35"/>
      <c r="K771" s="35"/>
      <c r="L771" s="35"/>
      <c r="M771" s="35"/>
      <c r="N771" s="58"/>
      <c r="O771" s="35"/>
      <c r="P771" s="35"/>
      <c r="Q771" s="35"/>
      <c r="R771" s="58"/>
      <c r="S771" s="35"/>
    </row>
    <row r="772" spans="2:19" ht="18.75" x14ac:dyDescent="0.3">
      <c r="B772" s="32"/>
      <c r="C772" s="37">
        <v>35</v>
      </c>
      <c r="D772" s="37" t="s">
        <v>1089</v>
      </c>
      <c r="E772" s="73"/>
      <c r="F772" s="74"/>
      <c r="G772" s="51"/>
      <c r="H772" s="57"/>
      <c r="I772" s="35"/>
      <c r="J772" s="35"/>
      <c r="K772" s="35"/>
      <c r="L772" s="35"/>
      <c r="M772" s="35"/>
      <c r="N772" s="58"/>
      <c r="O772" s="35"/>
      <c r="P772" s="35"/>
      <c r="Q772" s="35"/>
      <c r="R772" s="58"/>
      <c r="S772" s="35"/>
    </row>
    <row r="773" spans="2:19" ht="15.75" x14ac:dyDescent="0.25">
      <c r="B773" s="32"/>
      <c r="C773" s="32"/>
      <c r="D773" s="32"/>
      <c r="E773" s="33"/>
      <c r="F773" s="32"/>
      <c r="G773" s="51"/>
      <c r="H773" s="57"/>
      <c r="I773" s="35"/>
      <c r="J773" s="35"/>
      <c r="K773" s="35"/>
      <c r="L773" s="35"/>
      <c r="M773" s="35"/>
      <c r="N773" s="58"/>
      <c r="O773" s="35"/>
      <c r="P773" s="35"/>
      <c r="Q773" s="35"/>
      <c r="R773" s="58"/>
      <c r="S773" s="35"/>
    </row>
    <row r="774" spans="2:19" ht="15.75" x14ac:dyDescent="0.25">
      <c r="B774" s="72">
        <v>1</v>
      </c>
      <c r="C774" s="72" t="s">
        <v>1090</v>
      </c>
      <c r="D774" s="39" t="s">
        <v>1091</v>
      </c>
      <c r="E774" s="40">
        <v>44377</v>
      </c>
      <c r="F774" s="41">
        <v>25.072732999999999</v>
      </c>
      <c r="G774" s="42">
        <v>10</v>
      </c>
      <c r="H774" s="43">
        <f t="shared" ref="H774:H791" si="167">+F774/G774</f>
        <v>2.5072733</v>
      </c>
      <c r="I774" s="41">
        <v>32.042588000000002</v>
      </c>
      <c r="J774" s="41">
        <v>44.615989999999996</v>
      </c>
      <c r="K774" s="41">
        <f>2.4+1.284533</f>
        <v>3.6845330000000001</v>
      </c>
      <c r="L774" s="41">
        <v>5.4618E-2</v>
      </c>
      <c r="M774" s="41">
        <v>-9.2348370000000006</v>
      </c>
      <c r="N774" s="43">
        <f t="shared" ref="N774:N791" si="168">+M774-O774</f>
        <v>0.62021899999999874</v>
      </c>
      <c r="O774" s="41">
        <v>-9.8550559999999994</v>
      </c>
      <c r="P774" s="44">
        <v>0</v>
      </c>
      <c r="Q774" s="44">
        <v>0</v>
      </c>
      <c r="R774" s="45">
        <f t="shared" ref="R774:R791" si="169">SUM(P774:Q774)</f>
        <v>0</v>
      </c>
      <c r="S774" s="46">
        <v>720</v>
      </c>
    </row>
    <row r="775" spans="2:19" ht="15.75" x14ac:dyDescent="0.25">
      <c r="B775" s="72">
        <f>+B774+1</f>
        <v>2</v>
      </c>
      <c r="C775" s="38" t="s">
        <v>1092</v>
      </c>
      <c r="D775" s="39" t="s">
        <v>1093</v>
      </c>
      <c r="E775" s="40">
        <v>44377</v>
      </c>
      <c r="F775" s="41">
        <v>100</v>
      </c>
      <c r="G775" s="42">
        <v>10</v>
      </c>
      <c r="H775" s="43">
        <f t="shared" si="167"/>
        <v>10</v>
      </c>
      <c r="I775" s="41">
        <v>251.61504199999999</v>
      </c>
      <c r="J775" s="41">
        <v>573.49139400000001</v>
      </c>
      <c r="K775" s="41">
        <v>802.74676199999999</v>
      </c>
      <c r="L775" s="41">
        <v>8.5175560000000008</v>
      </c>
      <c r="M775" s="41">
        <v>40.180491000000004</v>
      </c>
      <c r="N775" s="43">
        <f t="shared" si="168"/>
        <v>17.373280000000005</v>
      </c>
      <c r="O775" s="41">
        <v>22.807210999999999</v>
      </c>
      <c r="P775" s="44">
        <v>0</v>
      </c>
      <c r="Q775" s="44">
        <v>0</v>
      </c>
      <c r="R775" s="45">
        <f t="shared" si="169"/>
        <v>0</v>
      </c>
      <c r="S775" s="46">
        <v>335</v>
      </c>
    </row>
    <row r="776" spans="2:19" ht="15.75" x14ac:dyDescent="0.25">
      <c r="B776" s="72">
        <f t="shared" ref="B776:B791" si="170">+B775+1</f>
        <v>3</v>
      </c>
      <c r="C776" s="38" t="s">
        <v>1094</v>
      </c>
      <c r="D776" s="39" t="s">
        <v>1095</v>
      </c>
      <c r="E776" s="40">
        <v>44377</v>
      </c>
      <c r="F776" s="41">
        <v>40</v>
      </c>
      <c r="G776" s="42">
        <v>10</v>
      </c>
      <c r="H776" s="43">
        <f t="shared" si="167"/>
        <v>4</v>
      </c>
      <c r="I776" s="41">
        <v>299.51884999999999</v>
      </c>
      <c r="J776" s="41">
        <v>304.05976500000003</v>
      </c>
      <c r="K776" s="41">
        <v>13.060638000000001</v>
      </c>
      <c r="L776" s="41">
        <v>1.0983E-2</v>
      </c>
      <c r="M776" s="41">
        <v>-122.13466699999999</v>
      </c>
      <c r="N776" s="43">
        <f t="shared" si="168"/>
        <v>1.8562180000000126</v>
      </c>
      <c r="O776" s="41">
        <v>-123.99088500000001</v>
      </c>
      <c r="P776" s="44">
        <v>0</v>
      </c>
      <c r="Q776" s="44">
        <v>0</v>
      </c>
      <c r="R776" s="45">
        <f t="shared" si="169"/>
        <v>0</v>
      </c>
      <c r="S776" s="46">
        <v>807</v>
      </c>
    </row>
    <row r="777" spans="2:19" ht="15.75" x14ac:dyDescent="0.25">
      <c r="B777" s="72">
        <f t="shared" si="170"/>
        <v>4</v>
      </c>
      <c r="C777" s="38" t="s">
        <v>1096</v>
      </c>
      <c r="D777" s="39" t="s">
        <v>1097</v>
      </c>
      <c r="E777" s="40">
        <v>44377</v>
      </c>
      <c r="F777" s="41">
        <v>381.48899999999998</v>
      </c>
      <c r="G777" s="42">
        <v>10</v>
      </c>
      <c r="H777" s="43">
        <f t="shared" si="167"/>
        <v>38.148899999999998</v>
      </c>
      <c r="I777" s="41">
        <v>850.06899999999996</v>
      </c>
      <c r="J777" s="41">
        <v>2141.7849999999999</v>
      </c>
      <c r="K777" s="41">
        <v>3100.6889999999999</v>
      </c>
      <c r="L777" s="41">
        <v>92.659000000000006</v>
      </c>
      <c r="M777" s="41">
        <v>66.503</v>
      </c>
      <c r="N777" s="43">
        <f t="shared" si="168"/>
        <v>20.389000000000003</v>
      </c>
      <c r="O777" s="41">
        <v>46.113999999999997</v>
      </c>
      <c r="P777" s="44">
        <v>0</v>
      </c>
      <c r="Q777" s="44">
        <v>10</v>
      </c>
      <c r="R777" s="45">
        <f t="shared" si="169"/>
        <v>10</v>
      </c>
      <c r="S777" s="46">
        <v>2193</v>
      </c>
    </row>
    <row r="778" spans="2:19" ht="15.75" x14ac:dyDescent="0.25">
      <c r="B778" s="72">
        <f t="shared" si="170"/>
        <v>5</v>
      </c>
      <c r="C778" s="38" t="s">
        <v>1098</v>
      </c>
      <c r="D778" s="39" t="s">
        <v>1099</v>
      </c>
      <c r="E778" s="40">
        <v>44377</v>
      </c>
      <c r="F778" s="41">
        <v>282.66230999999999</v>
      </c>
      <c r="G778" s="42">
        <v>10</v>
      </c>
      <c r="H778" s="43">
        <f>+F778/G778</f>
        <v>28.266230999999998</v>
      </c>
      <c r="I778" s="41">
        <v>792.35498199999995</v>
      </c>
      <c r="J778" s="41">
        <v>1056.7266</v>
      </c>
      <c r="K778" s="41">
        <v>75.716888999999995</v>
      </c>
      <c r="L778" s="41">
        <v>2.6582000000000001E-2</v>
      </c>
      <c r="M778" s="41">
        <v>-1.904841</v>
      </c>
      <c r="N778" s="43">
        <f>+M778-O778</f>
        <v>6.1979040000000003</v>
      </c>
      <c r="O778" s="41">
        <v>-8.1027450000000005</v>
      </c>
      <c r="P778" s="44">
        <v>0</v>
      </c>
      <c r="Q778" s="44">
        <v>0</v>
      </c>
      <c r="R778" s="45">
        <f>SUM(P778:Q778)</f>
        <v>0</v>
      </c>
      <c r="S778" s="46">
        <v>2354</v>
      </c>
    </row>
    <row r="779" spans="2:19" ht="15.75" x14ac:dyDescent="0.25">
      <c r="B779" s="72">
        <f t="shared" si="170"/>
        <v>6</v>
      </c>
      <c r="C779" s="72" t="s">
        <v>1100</v>
      </c>
      <c r="D779" s="39" t="s">
        <v>1101</v>
      </c>
      <c r="E779" s="40">
        <v>44377</v>
      </c>
      <c r="F779" s="41">
        <v>73.493409999999997</v>
      </c>
      <c r="G779" s="42">
        <v>10</v>
      </c>
      <c r="H779" s="43">
        <f t="shared" si="167"/>
        <v>7.3493409999999999</v>
      </c>
      <c r="I779" s="41">
        <v>341.97081800000001</v>
      </c>
      <c r="J779" s="41">
        <v>382.00129299999998</v>
      </c>
      <c r="K779" s="41">
        <v>204.57781800000001</v>
      </c>
      <c r="L779" s="41">
        <v>0.83829699999999996</v>
      </c>
      <c r="M779" s="41">
        <v>10.988925999999999</v>
      </c>
      <c r="N779" s="43">
        <f t="shared" si="168"/>
        <v>5.2645209999999993</v>
      </c>
      <c r="O779" s="41">
        <v>5.724405</v>
      </c>
      <c r="P779" s="44">
        <v>0</v>
      </c>
      <c r="Q779" s="44">
        <v>0</v>
      </c>
      <c r="R779" s="45">
        <f t="shared" si="169"/>
        <v>0</v>
      </c>
      <c r="S779" s="46">
        <v>334</v>
      </c>
    </row>
    <row r="780" spans="2:19" ht="15.75" x14ac:dyDescent="0.25">
      <c r="B780" s="72">
        <f t="shared" si="170"/>
        <v>7</v>
      </c>
      <c r="C780" s="38" t="s">
        <v>1102</v>
      </c>
      <c r="D780" s="39" t="s">
        <v>1103</v>
      </c>
      <c r="E780" s="40">
        <v>44377</v>
      </c>
      <c r="F780" s="41">
        <v>593.01149999999996</v>
      </c>
      <c r="G780" s="42">
        <v>10</v>
      </c>
      <c r="H780" s="43">
        <f t="shared" si="167"/>
        <v>59.301149999999993</v>
      </c>
      <c r="I780" s="41">
        <v>1395.061371</v>
      </c>
      <c r="J780" s="41">
        <v>3211.133026</v>
      </c>
      <c r="K780" s="41">
        <v>3025.3228049999998</v>
      </c>
      <c r="L780" s="41">
        <v>91.710220000000007</v>
      </c>
      <c r="M780" s="41">
        <v>274.012563</v>
      </c>
      <c r="N780" s="43">
        <f t="shared" si="168"/>
        <v>87.34751</v>
      </c>
      <c r="O780" s="41">
        <v>186.665053</v>
      </c>
      <c r="P780" s="44">
        <v>0</v>
      </c>
      <c r="Q780" s="44">
        <v>0</v>
      </c>
      <c r="R780" s="45">
        <f t="shared" si="169"/>
        <v>0</v>
      </c>
      <c r="S780" s="46">
        <v>1818</v>
      </c>
    </row>
    <row r="781" spans="2:19" ht="15.75" x14ac:dyDescent="0.25">
      <c r="B781" s="72">
        <f t="shared" si="170"/>
        <v>8</v>
      </c>
      <c r="C781" s="38" t="s">
        <v>1104</v>
      </c>
      <c r="D781" s="39" t="s">
        <v>1105</v>
      </c>
      <c r="E781" s="40">
        <v>44561</v>
      </c>
      <c r="F781" s="41"/>
      <c r="G781" s="42">
        <v>10</v>
      </c>
      <c r="H781" s="43">
        <f t="shared" si="167"/>
        <v>0</v>
      </c>
      <c r="I781" s="41"/>
      <c r="J781" s="41"/>
      <c r="K781" s="41"/>
      <c r="L781" s="41"/>
      <c r="M781" s="41"/>
      <c r="N781" s="43">
        <f t="shared" si="168"/>
        <v>0</v>
      </c>
      <c r="O781" s="41"/>
      <c r="P781" s="44"/>
      <c r="Q781" s="44"/>
      <c r="R781" s="45">
        <f t="shared" ref="R781" si="171">SUM(P781:Q781)</f>
        <v>0</v>
      </c>
      <c r="S781" s="46"/>
    </row>
    <row r="782" spans="2:19" ht="15.75" x14ac:dyDescent="0.25">
      <c r="B782" s="72">
        <f t="shared" si="170"/>
        <v>9</v>
      </c>
      <c r="C782" s="72" t="s">
        <v>1106</v>
      </c>
      <c r="D782" s="39" t="s">
        <v>1107</v>
      </c>
      <c r="E782" s="40">
        <v>44377</v>
      </c>
      <c r="F782" s="41">
        <v>2788.7660000000001</v>
      </c>
      <c r="G782" s="42">
        <v>10</v>
      </c>
      <c r="H782" s="43">
        <f t="shared" si="167"/>
        <v>278.8766</v>
      </c>
      <c r="I782" s="41">
        <v>553.96199999999999</v>
      </c>
      <c r="J782" s="41">
        <v>6913.152</v>
      </c>
      <c r="K782" s="41">
        <v>214.024</v>
      </c>
      <c r="L782" s="41">
        <v>134.28899999999999</v>
      </c>
      <c r="M782" s="41">
        <v>-43.26</v>
      </c>
      <c r="N782" s="43">
        <f t="shared" si="168"/>
        <v>3.0620000000000047</v>
      </c>
      <c r="O782" s="41">
        <v>-46.322000000000003</v>
      </c>
      <c r="P782" s="44">
        <v>0</v>
      </c>
      <c r="Q782" s="44">
        <v>0</v>
      </c>
      <c r="R782" s="45">
        <f t="shared" si="169"/>
        <v>0</v>
      </c>
      <c r="S782" s="46">
        <v>10186</v>
      </c>
    </row>
    <row r="783" spans="2:19" ht="15.75" x14ac:dyDescent="0.25">
      <c r="B783" s="72">
        <f t="shared" si="170"/>
        <v>10</v>
      </c>
      <c r="C783" s="72" t="s">
        <v>1108</v>
      </c>
      <c r="D783" s="39" t="s">
        <v>1109</v>
      </c>
      <c r="E783" s="40">
        <v>44377</v>
      </c>
      <c r="F783" s="41">
        <v>180</v>
      </c>
      <c r="G783" s="42">
        <v>10</v>
      </c>
      <c r="H783" s="43">
        <f t="shared" si="167"/>
        <v>18</v>
      </c>
      <c r="I783" s="41">
        <v>9323.1769999999997</v>
      </c>
      <c r="J783" s="41">
        <v>9674.1689999999999</v>
      </c>
      <c r="K783" s="41">
        <v>249.72399999999999</v>
      </c>
      <c r="L783" s="41">
        <v>0.26800000000000002</v>
      </c>
      <c r="M783" s="41">
        <v>-46.356999999999999</v>
      </c>
      <c r="N783" s="43">
        <f t="shared" si="168"/>
        <v>0.80799999999999983</v>
      </c>
      <c r="O783" s="41">
        <v>-47.164999999999999</v>
      </c>
      <c r="P783" s="44">
        <v>0</v>
      </c>
      <c r="Q783" s="44">
        <v>0</v>
      </c>
      <c r="R783" s="45">
        <f t="shared" si="169"/>
        <v>0</v>
      </c>
      <c r="S783" s="46">
        <v>497</v>
      </c>
    </row>
    <row r="784" spans="2:19" ht="15.75" x14ac:dyDescent="0.25">
      <c r="B784" s="72">
        <f t="shared" si="170"/>
        <v>11</v>
      </c>
      <c r="C784" s="72" t="s">
        <v>1110</v>
      </c>
      <c r="D784" s="39" t="s">
        <v>1111</v>
      </c>
      <c r="E784" s="40">
        <v>44377</v>
      </c>
      <c r="F784" s="41">
        <v>325.24200000000002</v>
      </c>
      <c r="G784" s="42">
        <v>10</v>
      </c>
      <c r="H784" s="43">
        <f t="shared" si="167"/>
        <v>32.5242</v>
      </c>
      <c r="I784" s="41">
        <v>34509.775999999998</v>
      </c>
      <c r="J784" s="41">
        <v>55029.343999999997</v>
      </c>
      <c r="K784" s="41">
        <v>6940.8209999999999</v>
      </c>
      <c r="L784" s="41">
        <v>1226.577</v>
      </c>
      <c r="M784" s="41">
        <v>-577.24300000000005</v>
      </c>
      <c r="N784" s="43">
        <f t="shared" si="168"/>
        <v>-181.35100000000006</v>
      </c>
      <c r="O784" s="41">
        <v>-395.892</v>
      </c>
      <c r="P784" s="44">
        <v>0</v>
      </c>
      <c r="Q784" s="44">
        <v>0</v>
      </c>
      <c r="R784" s="45">
        <f t="shared" si="169"/>
        <v>0</v>
      </c>
      <c r="S784" s="46"/>
    </row>
    <row r="785" spans="2:19" ht="15.75" x14ac:dyDescent="0.25">
      <c r="B785" s="72">
        <f t="shared" si="170"/>
        <v>12</v>
      </c>
      <c r="C785" s="38" t="s">
        <v>1112</v>
      </c>
      <c r="D785" s="39" t="s">
        <v>1113</v>
      </c>
      <c r="E785" s="40">
        <v>44377</v>
      </c>
      <c r="F785" s="41">
        <v>619.74900000000002</v>
      </c>
      <c r="G785" s="42">
        <v>10</v>
      </c>
      <c r="H785" s="43">
        <f t="shared" si="167"/>
        <v>61.974900000000005</v>
      </c>
      <c r="I785" s="41">
        <v>8488.6869999999999</v>
      </c>
      <c r="J785" s="41">
        <v>16692.968000000001</v>
      </c>
      <c r="K785" s="41">
        <v>14219.718000000001</v>
      </c>
      <c r="L785" s="41">
        <v>360.375</v>
      </c>
      <c r="M785" s="41">
        <v>963.89300000000003</v>
      </c>
      <c r="N785" s="43">
        <f t="shared" si="168"/>
        <v>263.96900000000005</v>
      </c>
      <c r="O785" s="41">
        <v>699.92399999999998</v>
      </c>
      <c r="P785" s="44">
        <v>0</v>
      </c>
      <c r="Q785" s="44">
        <v>2</v>
      </c>
      <c r="R785" s="45">
        <f t="shared" si="169"/>
        <v>2</v>
      </c>
      <c r="S785" s="46">
        <v>2408</v>
      </c>
    </row>
    <row r="786" spans="2:19" ht="15.75" x14ac:dyDescent="0.25">
      <c r="B786" s="72">
        <f t="shared" si="170"/>
        <v>13</v>
      </c>
      <c r="C786" s="38" t="s">
        <v>1114</v>
      </c>
      <c r="D786" s="39" t="s">
        <v>1115</v>
      </c>
      <c r="E786" s="40">
        <v>44377</v>
      </c>
      <c r="F786" s="41">
        <v>924.70378000000005</v>
      </c>
      <c r="G786" s="42">
        <v>10</v>
      </c>
      <c r="H786" s="43">
        <f t="shared" si="167"/>
        <v>92.470378000000011</v>
      </c>
      <c r="I786" s="41">
        <v>3361.1637780000001</v>
      </c>
      <c r="J786" s="41">
        <v>4532.4406479999998</v>
      </c>
      <c r="K786" s="41">
        <v>4171.0219740000002</v>
      </c>
      <c r="L786" s="41">
        <v>46.157907999999999</v>
      </c>
      <c r="M786" s="41">
        <v>638.83476499999995</v>
      </c>
      <c r="N786" s="43">
        <f t="shared" si="168"/>
        <v>178.60197599999992</v>
      </c>
      <c r="O786" s="41">
        <v>460.23278900000003</v>
      </c>
      <c r="P786" s="44">
        <v>5</v>
      </c>
      <c r="Q786" s="44">
        <v>8</v>
      </c>
      <c r="R786" s="45">
        <f t="shared" si="169"/>
        <v>13</v>
      </c>
      <c r="S786" s="46">
        <v>1881</v>
      </c>
    </row>
    <row r="787" spans="2:19" ht="15.75" x14ac:dyDescent="0.25">
      <c r="B787" s="72">
        <f t="shared" si="170"/>
        <v>14</v>
      </c>
      <c r="C787" s="38" t="s">
        <v>1116</v>
      </c>
      <c r="D787" s="39" t="s">
        <v>1117</v>
      </c>
      <c r="E787" s="40">
        <v>44377</v>
      </c>
      <c r="F787" s="41">
        <v>2292.7876999999999</v>
      </c>
      <c r="G787" s="42">
        <v>10</v>
      </c>
      <c r="H787" s="43">
        <f t="shared" si="167"/>
        <v>229.27876999999998</v>
      </c>
      <c r="I787" s="41">
        <v>3016.7295610000001</v>
      </c>
      <c r="J787" s="41">
        <v>5114.6438520000002</v>
      </c>
      <c r="K787" s="41">
        <v>5847.8548680000004</v>
      </c>
      <c r="L787" s="41">
        <v>124.647336</v>
      </c>
      <c r="M787" s="41">
        <v>402.061193</v>
      </c>
      <c r="N787" s="43">
        <f t="shared" si="168"/>
        <v>79.905429000000026</v>
      </c>
      <c r="O787" s="41">
        <v>322.15576399999998</v>
      </c>
      <c r="P787" s="44">
        <v>0</v>
      </c>
      <c r="Q787" s="44">
        <v>0</v>
      </c>
      <c r="R787" s="45">
        <f t="shared" si="169"/>
        <v>0</v>
      </c>
      <c r="S787" s="46">
        <v>6041</v>
      </c>
    </row>
    <row r="788" spans="2:19" ht="15.75" x14ac:dyDescent="0.25">
      <c r="B788" s="72">
        <f t="shared" si="170"/>
        <v>15</v>
      </c>
      <c r="C788" s="38" t="s">
        <v>1118</v>
      </c>
      <c r="D788" s="39" t="s">
        <v>1119</v>
      </c>
      <c r="E788" s="40">
        <v>44377</v>
      </c>
      <c r="F788" s="41">
        <v>3273.931063</v>
      </c>
      <c r="G788" s="42">
        <v>10</v>
      </c>
      <c r="H788" s="43">
        <f>+F788/G788</f>
        <v>327.3931063</v>
      </c>
      <c r="I788" s="41">
        <v>5626.9183759999996</v>
      </c>
      <c r="J788" s="41">
        <v>7501.1412069999997</v>
      </c>
      <c r="K788" s="41">
        <v>283.89856600000002</v>
      </c>
      <c r="L788" s="41">
        <v>424.646747</v>
      </c>
      <c r="M788" s="41">
        <v>-581.02733000000001</v>
      </c>
      <c r="N788" s="43">
        <f>+M788-O788</f>
        <v>-16.630440000000021</v>
      </c>
      <c r="O788" s="41">
        <v>-564.39688999999998</v>
      </c>
      <c r="P788" s="44">
        <f>10</f>
        <v>10</v>
      </c>
      <c r="Q788" s="44">
        <v>0</v>
      </c>
      <c r="R788" s="45">
        <f>SUM(P788:Q788)</f>
        <v>10</v>
      </c>
      <c r="S788" s="46">
        <v>940</v>
      </c>
    </row>
    <row r="789" spans="2:19" ht="15.75" x14ac:dyDescent="0.25">
      <c r="B789" s="72">
        <f t="shared" si="170"/>
        <v>16</v>
      </c>
      <c r="C789" s="38" t="s">
        <v>1120</v>
      </c>
      <c r="D789" s="39" t="s">
        <v>1121</v>
      </c>
      <c r="E789" s="40">
        <v>44561</v>
      </c>
      <c r="F789" s="41">
        <v>388</v>
      </c>
      <c r="G789" s="42">
        <v>10</v>
      </c>
      <c r="H789" s="43">
        <f t="shared" si="167"/>
        <v>38.799999999999997</v>
      </c>
      <c r="I789" s="41"/>
      <c r="J789" s="41"/>
      <c r="K789" s="41"/>
      <c r="L789" s="41"/>
      <c r="M789" s="41">
        <v>1415.106</v>
      </c>
      <c r="N789" s="43">
        <f t="shared" si="168"/>
        <v>373.24600000000009</v>
      </c>
      <c r="O789" s="41">
        <v>1041.8599999999999</v>
      </c>
      <c r="P789" s="44">
        <v>130</v>
      </c>
      <c r="Q789" s="44">
        <v>0</v>
      </c>
      <c r="R789" s="45">
        <f t="shared" si="169"/>
        <v>130</v>
      </c>
      <c r="S789" s="46"/>
    </row>
    <row r="790" spans="2:19" ht="15.75" x14ac:dyDescent="0.25">
      <c r="B790" s="72">
        <f t="shared" si="170"/>
        <v>17</v>
      </c>
      <c r="C790" s="72" t="s">
        <v>1122</v>
      </c>
      <c r="D790" s="39" t="s">
        <v>1123</v>
      </c>
      <c r="E790" s="40">
        <v>44377</v>
      </c>
      <c r="F790" s="41">
        <v>918</v>
      </c>
      <c r="G790" s="42">
        <v>10</v>
      </c>
      <c r="H790" s="43">
        <f t="shared" si="167"/>
        <v>91.8</v>
      </c>
      <c r="I790" s="41">
        <v>55.061</v>
      </c>
      <c r="J790" s="41">
        <v>1104.309</v>
      </c>
      <c r="K790" s="41">
        <v>2553.6660000000002</v>
      </c>
      <c r="L790" s="41">
        <v>45.604999999999997</v>
      </c>
      <c r="M790" s="41">
        <v>43.460999999999999</v>
      </c>
      <c r="N790" s="43">
        <f t="shared" si="168"/>
        <v>39.734000000000002</v>
      </c>
      <c r="O790" s="41">
        <v>3.7269999999999999</v>
      </c>
      <c r="P790" s="44">
        <v>0</v>
      </c>
      <c r="Q790" s="44">
        <v>0</v>
      </c>
      <c r="R790" s="45">
        <f t="shared" si="169"/>
        <v>0</v>
      </c>
      <c r="S790" s="46">
        <v>931</v>
      </c>
    </row>
    <row r="791" spans="2:19" ht="15.75" x14ac:dyDescent="0.25">
      <c r="B791" s="72">
        <f t="shared" si="170"/>
        <v>18</v>
      </c>
      <c r="C791" s="72" t="s">
        <v>1124</v>
      </c>
      <c r="D791" s="39" t="s">
        <v>1125</v>
      </c>
      <c r="E791" s="40">
        <v>44377</v>
      </c>
      <c r="F791" s="41">
        <v>352.71300000000002</v>
      </c>
      <c r="G791" s="42">
        <v>10</v>
      </c>
      <c r="H791" s="43">
        <f t="shared" si="167"/>
        <v>35.271300000000004</v>
      </c>
      <c r="I791" s="41">
        <v>2246.355</v>
      </c>
      <c r="J791" s="41">
        <v>2562.009</v>
      </c>
      <c r="K791" s="41">
        <v>646.62599999999998</v>
      </c>
      <c r="L791" s="41">
        <v>11.422000000000001</v>
      </c>
      <c r="M791" s="41">
        <v>-89.498999999999995</v>
      </c>
      <c r="N791" s="43">
        <f t="shared" si="168"/>
        <v>-11.021999999999991</v>
      </c>
      <c r="O791" s="41">
        <v>-78.477000000000004</v>
      </c>
      <c r="P791" s="44">
        <v>0</v>
      </c>
      <c r="Q791" s="44">
        <v>0</v>
      </c>
      <c r="R791" s="45">
        <f t="shared" si="169"/>
        <v>0</v>
      </c>
      <c r="S791" s="46">
        <v>1245</v>
      </c>
    </row>
    <row r="792" spans="2:19" ht="15.75" x14ac:dyDescent="0.25">
      <c r="B792" s="32"/>
      <c r="C792" s="32"/>
      <c r="D792" s="32"/>
      <c r="E792" s="33"/>
      <c r="F792" s="32"/>
      <c r="G792" s="51"/>
      <c r="H792" s="57"/>
      <c r="I792" s="35"/>
      <c r="J792" s="35"/>
      <c r="K792" s="35"/>
      <c r="L792" s="35"/>
      <c r="M792" s="35"/>
      <c r="N792" s="58"/>
      <c r="O792" s="35"/>
      <c r="P792" s="35"/>
      <c r="Q792" s="35"/>
      <c r="R792" s="58"/>
      <c r="S792" s="35"/>
    </row>
    <row r="793" spans="2:19" ht="18.75" x14ac:dyDescent="0.3">
      <c r="B793" s="32"/>
      <c r="C793" s="32"/>
      <c r="D793" s="68" t="s">
        <v>41</v>
      </c>
      <c r="E793" s="33"/>
      <c r="F793" s="32"/>
      <c r="G793" s="51"/>
      <c r="H793" s="57"/>
      <c r="I793" s="35"/>
      <c r="J793" s="35"/>
      <c r="K793" s="35"/>
      <c r="L793" s="35"/>
      <c r="M793" s="35"/>
      <c r="N793" s="58"/>
      <c r="O793" s="35"/>
      <c r="P793" s="35"/>
      <c r="Q793" s="35"/>
      <c r="R793" s="58"/>
      <c r="S793" s="35"/>
    </row>
    <row r="794" spans="2:19" ht="15.75" x14ac:dyDescent="0.25">
      <c r="B794" s="72">
        <v>1</v>
      </c>
      <c r="C794" s="38" t="s">
        <v>1126</v>
      </c>
      <c r="D794" s="39" t="s">
        <v>1127</v>
      </c>
      <c r="E794" s="40">
        <v>44377</v>
      </c>
      <c r="F794" s="41"/>
      <c r="G794" s="42">
        <v>10</v>
      </c>
      <c r="H794" s="43">
        <f t="shared" ref="H794:H798" si="172">+F794/G794</f>
        <v>0</v>
      </c>
      <c r="I794" s="41"/>
      <c r="J794" s="41"/>
      <c r="K794" s="41"/>
      <c r="L794" s="41"/>
      <c r="M794" s="41"/>
      <c r="N794" s="43">
        <f t="shared" ref="N794:N798" si="173">+M794-O794</f>
        <v>0</v>
      </c>
      <c r="O794" s="41"/>
      <c r="P794" s="44"/>
      <c r="Q794" s="44"/>
      <c r="R794" s="45">
        <f t="shared" ref="R794:R798" si="174">SUM(P794:Q794)</f>
        <v>0</v>
      </c>
      <c r="S794" s="46"/>
    </row>
    <row r="795" spans="2:19" ht="15.75" x14ac:dyDescent="0.25">
      <c r="B795" s="72">
        <f>+B794+1</f>
        <v>2</v>
      </c>
      <c r="C795" s="72" t="s">
        <v>1128</v>
      </c>
      <c r="D795" s="39" t="s">
        <v>1129</v>
      </c>
      <c r="E795" s="40">
        <v>44377</v>
      </c>
      <c r="F795" s="41">
        <v>90</v>
      </c>
      <c r="G795" s="42">
        <v>10</v>
      </c>
      <c r="H795" s="43">
        <f t="shared" si="172"/>
        <v>9</v>
      </c>
      <c r="I795" s="41">
        <v>235.25654900000001</v>
      </c>
      <c r="J795" s="41">
        <v>940.92323999999996</v>
      </c>
      <c r="K795" s="41">
        <v>163.26433499999999</v>
      </c>
      <c r="L795" s="41">
        <v>1.108568</v>
      </c>
      <c r="M795" s="41">
        <v>27.089773999999998</v>
      </c>
      <c r="N795" s="43">
        <f t="shared" si="173"/>
        <v>-6.4251800000000046</v>
      </c>
      <c r="O795" s="41">
        <v>33.514954000000003</v>
      </c>
      <c r="P795" s="44">
        <v>0</v>
      </c>
      <c r="Q795" s="44">
        <v>0</v>
      </c>
      <c r="R795" s="45">
        <f t="shared" si="174"/>
        <v>0</v>
      </c>
      <c r="S795" s="46">
        <v>281</v>
      </c>
    </row>
    <row r="796" spans="2:19" ht="15.75" x14ac:dyDescent="0.25">
      <c r="B796" s="72">
        <f>+B795+1</f>
        <v>3</v>
      </c>
      <c r="C796" s="38" t="s">
        <v>1130</v>
      </c>
      <c r="D796" s="39" t="s">
        <v>1131</v>
      </c>
      <c r="E796" s="40">
        <v>44377</v>
      </c>
      <c r="F796" s="41">
        <v>16.335000000000001</v>
      </c>
      <c r="G796" s="42">
        <v>10</v>
      </c>
      <c r="H796" s="43">
        <f t="shared" si="172"/>
        <v>1.6335000000000002</v>
      </c>
      <c r="I796" s="41">
        <v>73.539327</v>
      </c>
      <c r="J796" s="41">
        <v>122.24552799999999</v>
      </c>
      <c r="K796" s="41">
        <v>0</v>
      </c>
      <c r="L796" s="41">
        <v>0</v>
      </c>
      <c r="M796" s="41">
        <v>-23.744115000000001</v>
      </c>
      <c r="N796" s="43">
        <f t="shared" si="173"/>
        <v>2.1448520000000002</v>
      </c>
      <c r="O796" s="41">
        <v>-25.888967000000001</v>
      </c>
      <c r="P796" s="44">
        <v>0</v>
      </c>
      <c r="Q796" s="44">
        <v>0</v>
      </c>
      <c r="R796" s="45">
        <f t="shared" si="174"/>
        <v>0</v>
      </c>
      <c r="S796" s="46">
        <v>636</v>
      </c>
    </row>
    <row r="797" spans="2:19" ht="15.75" x14ac:dyDescent="0.25">
      <c r="B797" s="72">
        <f t="shared" ref="B797:B798" si="175">+B796+1</f>
        <v>4</v>
      </c>
      <c r="C797" s="38" t="s">
        <v>1132</v>
      </c>
      <c r="D797" s="39" t="s">
        <v>1133</v>
      </c>
      <c r="E797" s="40">
        <v>44377</v>
      </c>
      <c r="F797" s="41"/>
      <c r="G797" s="42">
        <v>5</v>
      </c>
      <c r="H797" s="43">
        <f t="shared" si="172"/>
        <v>0</v>
      </c>
      <c r="I797" s="41"/>
      <c r="J797" s="41"/>
      <c r="K797" s="41"/>
      <c r="L797" s="41"/>
      <c r="M797" s="41"/>
      <c r="N797" s="43">
        <f t="shared" si="173"/>
        <v>0</v>
      </c>
      <c r="O797" s="41"/>
      <c r="P797" s="44"/>
      <c r="Q797" s="44"/>
      <c r="R797" s="45">
        <f t="shared" si="174"/>
        <v>0</v>
      </c>
      <c r="S797" s="46"/>
    </row>
    <row r="798" spans="2:19" ht="15.75" x14ac:dyDescent="0.25">
      <c r="B798" s="72">
        <f t="shared" si="175"/>
        <v>5</v>
      </c>
      <c r="C798" s="72" t="s">
        <v>1134</v>
      </c>
      <c r="D798" s="39" t="s">
        <v>1135</v>
      </c>
      <c r="E798" s="40">
        <v>44377</v>
      </c>
      <c r="F798" s="41">
        <v>287.48133000000001</v>
      </c>
      <c r="G798" s="42">
        <v>10</v>
      </c>
      <c r="H798" s="43">
        <f t="shared" si="172"/>
        <v>28.748133000000003</v>
      </c>
      <c r="I798" s="41">
        <v>-94.774966000000006</v>
      </c>
      <c r="J798" s="41">
        <f>57.266392+130.589045</f>
        <v>187.85543699999999</v>
      </c>
      <c r="K798" s="41">
        <v>123.106275</v>
      </c>
      <c r="L798" s="41">
        <v>1.597051</v>
      </c>
      <c r="M798" s="41">
        <v>-4.8397940000000004</v>
      </c>
      <c r="N798" s="43">
        <f t="shared" si="173"/>
        <v>1.8950459999999998</v>
      </c>
      <c r="O798" s="41">
        <v>-6.7348400000000002</v>
      </c>
      <c r="P798" s="44">
        <v>0</v>
      </c>
      <c r="Q798" s="44">
        <v>0</v>
      </c>
      <c r="R798" s="45">
        <f t="shared" si="174"/>
        <v>0</v>
      </c>
      <c r="S798" s="46">
        <v>2661</v>
      </c>
    </row>
    <row r="799" spans="2:19" ht="15.75" x14ac:dyDescent="0.25">
      <c r="B799" s="32"/>
      <c r="C799" s="32"/>
      <c r="D799" s="32"/>
      <c r="E799" s="33"/>
      <c r="F799" s="32"/>
      <c r="G799" s="51"/>
      <c r="H799" s="57"/>
      <c r="I799" s="35"/>
      <c r="J799" s="35"/>
      <c r="K799" s="35"/>
      <c r="L799" s="35"/>
      <c r="M799" s="35"/>
      <c r="N799" s="58"/>
      <c r="O799" s="35"/>
      <c r="P799" s="35"/>
      <c r="Q799" s="35"/>
      <c r="R799" s="58"/>
      <c r="S799" s="35"/>
    </row>
    <row r="800" spans="2:19" ht="15.75" x14ac:dyDescent="0.25">
      <c r="B800" s="38">
        <f>COUNT(B774:B799)</f>
        <v>23</v>
      </c>
      <c r="C800" s="38"/>
      <c r="D800" s="60"/>
      <c r="E800" s="40"/>
      <c r="F800" s="60">
        <f>SUM(F774:F799)</f>
        <v>13953.437825999999</v>
      </c>
      <c r="G800" s="61"/>
      <c r="H800" s="62">
        <f t="shared" ref="H800:O800" si="176">SUM(H774:H799)</f>
        <v>1395.3437825999999</v>
      </c>
      <c r="I800" s="60">
        <f t="shared" si="176"/>
        <v>71358.483275999999</v>
      </c>
      <c r="J800" s="60">
        <f t="shared" si="176"/>
        <v>118089.01397999999</v>
      </c>
      <c r="K800" s="60">
        <f t="shared" si="176"/>
        <v>42639.523462999998</v>
      </c>
      <c r="L800" s="60">
        <f t="shared" si="176"/>
        <v>2570.5108660000005</v>
      </c>
      <c r="M800" s="60">
        <f t="shared" si="176"/>
        <v>2382.8861280000001</v>
      </c>
      <c r="N800" s="63">
        <f t="shared" si="176"/>
        <v>866.98633500000005</v>
      </c>
      <c r="O800" s="60">
        <f t="shared" si="176"/>
        <v>1515.8997929999998</v>
      </c>
      <c r="P800" s="64"/>
      <c r="Q800" s="64"/>
      <c r="R800" s="65"/>
      <c r="S800" s="66">
        <f>SUM(S774:S799)</f>
        <v>36268</v>
      </c>
    </row>
    <row r="801" spans="2:19" ht="15.75" x14ac:dyDescent="0.25">
      <c r="B801" s="32"/>
      <c r="C801" s="32"/>
      <c r="D801" s="32"/>
      <c r="E801" s="33"/>
      <c r="F801" s="32"/>
      <c r="G801" s="32"/>
      <c r="H801" s="34"/>
      <c r="I801" s="35"/>
      <c r="J801" s="35"/>
      <c r="K801" s="35"/>
      <c r="L801" s="35"/>
      <c r="M801" s="35"/>
      <c r="N801" s="36"/>
      <c r="O801" s="35"/>
      <c r="P801" s="35"/>
      <c r="Q801" s="35"/>
      <c r="R801" s="36"/>
      <c r="S801" s="35"/>
    </row>
  </sheetData>
  <mergeCells count="2">
    <mergeCell ref="D1:F1"/>
    <mergeCell ref="D76:F76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2022-03-10T06:57:44Z</dcterms:created>
  <dcterms:modified xsi:type="dcterms:W3CDTF">2022-03-10T06:58:43Z</dcterms:modified>
</cp:coreProperties>
</file>