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asghar\Desktop\"/>
    </mc:Choice>
  </mc:AlternateContent>
  <bookViews>
    <workbookView xWindow="0" yWindow="0" windowWidth="20490" windowHeight="7650"/>
  </bookViews>
  <sheets>
    <sheet name="Master Data Entry" sheetId="1" r:id="rId1"/>
  </sheets>
  <definedNames>
    <definedName name="_xlnm.Print_Area" localSheetId="0">'Master Data Entry'!$B$6:$S$801</definedName>
    <definedName name="_xlnm.Print_Titles" localSheetId="0">'Master Data Entry'!$1:$5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00" i="1" l="1"/>
  <c r="O800" i="1"/>
  <c r="M800" i="1"/>
  <c r="L800" i="1"/>
  <c r="I800" i="1"/>
  <c r="F800" i="1"/>
  <c r="R798" i="1"/>
  <c r="N798" i="1"/>
  <c r="J798" i="1"/>
  <c r="J800" i="1" s="1"/>
  <c r="H798" i="1"/>
  <c r="R797" i="1"/>
  <c r="N797" i="1"/>
  <c r="H797" i="1"/>
  <c r="R796" i="1"/>
  <c r="N796" i="1"/>
  <c r="H796" i="1"/>
  <c r="R795" i="1"/>
  <c r="N795" i="1"/>
  <c r="H795" i="1"/>
  <c r="R794" i="1"/>
  <c r="N794" i="1"/>
  <c r="H794" i="1"/>
  <c r="B794" i="1"/>
  <c r="B795" i="1" s="1"/>
  <c r="B796" i="1" s="1"/>
  <c r="B797" i="1" s="1"/>
  <c r="B798" i="1" s="1"/>
  <c r="R793" i="1"/>
  <c r="N793" i="1"/>
  <c r="H793" i="1"/>
  <c r="R790" i="1"/>
  <c r="N790" i="1"/>
  <c r="H790" i="1"/>
  <c r="R789" i="1"/>
  <c r="N789" i="1"/>
  <c r="H789" i="1"/>
  <c r="R788" i="1"/>
  <c r="N788" i="1"/>
  <c r="H788" i="1"/>
  <c r="Q787" i="1"/>
  <c r="N787" i="1"/>
  <c r="H787" i="1"/>
  <c r="R786" i="1"/>
  <c r="N786" i="1"/>
  <c r="H786" i="1"/>
  <c r="R785" i="1"/>
  <c r="N785" i="1"/>
  <c r="H785" i="1"/>
  <c r="R784" i="1"/>
  <c r="N784" i="1"/>
  <c r="H784" i="1"/>
  <c r="R783" i="1"/>
  <c r="N783" i="1"/>
  <c r="H783" i="1"/>
  <c r="P782" i="1"/>
  <c r="N782" i="1"/>
  <c r="H782" i="1"/>
  <c r="R781" i="1"/>
  <c r="N781" i="1"/>
  <c r="H781" i="1"/>
  <c r="R780" i="1"/>
  <c r="N780" i="1"/>
  <c r="H780" i="1"/>
  <c r="R779" i="1"/>
  <c r="N779" i="1"/>
  <c r="H779" i="1"/>
  <c r="R778" i="1"/>
  <c r="N778" i="1"/>
  <c r="H778" i="1"/>
  <c r="R777" i="1"/>
  <c r="N777" i="1"/>
  <c r="H777" i="1"/>
  <c r="R776" i="1"/>
  <c r="N776" i="1"/>
  <c r="H776" i="1"/>
  <c r="B776" i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R775" i="1"/>
  <c r="N775" i="1"/>
  <c r="K775" i="1"/>
  <c r="K800" i="1" s="1"/>
  <c r="H775" i="1"/>
  <c r="S770" i="1"/>
  <c r="O770" i="1"/>
  <c r="M770" i="1"/>
  <c r="L770" i="1"/>
  <c r="K770" i="1"/>
  <c r="J770" i="1"/>
  <c r="I770" i="1"/>
  <c r="F770" i="1"/>
  <c r="R768" i="1"/>
  <c r="N768" i="1"/>
  <c r="H768" i="1"/>
  <c r="R765" i="1"/>
  <c r="N765" i="1"/>
  <c r="H765" i="1"/>
  <c r="R764" i="1"/>
  <c r="N764" i="1"/>
  <c r="H764" i="1"/>
  <c r="R763" i="1"/>
  <c r="N763" i="1"/>
  <c r="H763" i="1"/>
  <c r="P762" i="1"/>
  <c r="R762" i="1" s="1"/>
  <c r="N762" i="1"/>
  <c r="H762" i="1"/>
  <c r="P761" i="1"/>
  <c r="N761" i="1"/>
  <c r="H761" i="1"/>
  <c r="R760" i="1"/>
  <c r="N760" i="1"/>
  <c r="H760" i="1"/>
  <c r="R759" i="1"/>
  <c r="N759" i="1"/>
  <c r="H759" i="1"/>
  <c r="B759" i="1"/>
  <c r="B760" i="1" s="1"/>
  <c r="B761" i="1" s="1"/>
  <c r="B762" i="1" s="1"/>
  <c r="B763" i="1" s="1"/>
  <c r="B764" i="1" s="1"/>
  <c r="B765" i="1" s="1"/>
  <c r="R758" i="1"/>
  <c r="N758" i="1"/>
  <c r="H758" i="1"/>
  <c r="S753" i="1"/>
  <c r="O753" i="1"/>
  <c r="M753" i="1"/>
  <c r="L753" i="1"/>
  <c r="K753" i="1"/>
  <c r="J753" i="1"/>
  <c r="I753" i="1"/>
  <c r="F753" i="1"/>
  <c r="R751" i="1"/>
  <c r="N751" i="1"/>
  <c r="H751" i="1"/>
  <c r="R748" i="1"/>
  <c r="N748" i="1"/>
  <c r="H748" i="1"/>
  <c r="P747" i="1"/>
  <c r="N747" i="1"/>
  <c r="H747" i="1"/>
  <c r="R746" i="1"/>
  <c r="N746" i="1"/>
  <c r="H746" i="1"/>
  <c r="R745" i="1"/>
  <c r="N745" i="1"/>
  <c r="H745" i="1"/>
  <c r="R744" i="1"/>
  <c r="N744" i="1"/>
  <c r="H744" i="1"/>
  <c r="P743" i="1"/>
  <c r="R743" i="1" s="1"/>
  <c r="N743" i="1"/>
  <c r="H743" i="1"/>
  <c r="R742" i="1"/>
  <c r="N742" i="1"/>
  <c r="H742" i="1"/>
  <c r="R741" i="1"/>
  <c r="N741" i="1"/>
  <c r="H741" i="1"/>
  <c r="P740" i="1"/>
  <c r="R740" i="1" s="1"/>
  <c r="N740" i="1"/>
  <c r="H740" i="1"/>
  <c r="R739" i="1"/>
  <c r="N739" i="1"/>
  <c r="H739" i="1"/>
  <c r="P738" i="1"/>
  <c r="N738" i="1"/>
  <c r="H738" i="1"/>
  <c r="R737" i="1"/>
  <c r="N737" i="1"/>
  <c r="H737" i="1"/>
  <c r="R736" i="1"/>
  <c r="N736" i="1"/>
  <c r="H736" i="1"/>
  <c r="R735" i="1"/>
  <c r="N735" i="1"/>
  <c r="H735" i="1"/>
  <c r="R734" i="1"/>
  <c r="N734" i="1"/>
  <c r="H734" i="1"/>
  <c r="R733" i="1"/>
  <c r="N733" i="1"/>
  <c r="H733" i="1"/>
  <c r="R732" i="1"/>
  <c r="N732" i="1"/>
  <c r="H732" i="1"/>
  <c r="R731" i="1"/>
  <c r="N731" i="1"/>
  <c r="H731" i="1"/>
  <c r="P730" i="1"/>
  <c r="N730" i="1"/>
  <c r="H730" i="1"/>
  <c r="B730" i="1"/>
  <c r="B731" i="1" s="1"/>
  <c r="R729" i="1"/>
  <c r="N729" i="1"/>
  <c r="H729" i="1"/>
  <c r="S724" i="1"/>
  <c r="O724" i="1"/>
  <c r="M724" i="1"/>
  <c r="L724" i="1"/>
  <c r="K724" i="1"/>
  <c r="J724" i="1"/>
  <c r="I724" i="1"/>
  <c r="F724" i="1"/>
  <c r="R722" i="1"/>
  <c r="N722" i="1"/>
  <c r="H722" i="1"/>
  <c r="B722" i="1"/>
  <c r="R721" i="1"/>
  <c r="N721" i="1"/>
  <c r="H721" i="1"/>
  <c r="Q718" i="1"/>
  <c r="P718" i="1"/>
  <c r="N718" i="1"/>
  <c r="H718" i="1"/>
  <c r="R717" i="1"/>
  <c r="N717" i="1"/>
  <c r="H717" i="1"/>
  <c r="B717" i="1"/>
  <c r="B718" i="1" s="1"/>
  <c r="B724" i="1" s="1"/>
  <c r="P716" i="1"/>
  <c r="N716" i="1"/>
  <c r="H716" i="1"/>
  <c r="S711" i="1"/>
  <c r="O711" i="1"/>
  <c r="M711" i="1"/>
  <c r="L711" i="1"/>
  <c r="K711" i="1"/>
  <c r="J711" i="1"/>
  <c r="I711" i="1"/>
  <c r="F711" i="1"/>
  <c r="R709" i="1"/>
  <c r="N709" i="1"/>
  <c r="H709" i="1"/>
  <c r="R708" i="1"/>
  <c r="N708" i="1"/>
  <c r="H708" i="1"/>
  <c r="B708" i="1"/>
  <c r="R707" i="1"/>
  <c r="N707" i="1"/>
  <c r="H707" i="1"/>
  <c r="R704" i="1"/>
  <c r="N704" i="1"/>
  <c r="H704" i="1"/>
  <c r="R703" i="1"/>
  <c r="N703" i="1"/>
  <c r="H703" i="1"/>
  <c r="B703" i="1"/>
  <c r="B709" i="1" s="1"/>
  <c r="P702" i="1"/>
  <c r="R702" i="1" s="1"/>
  <c r="N702" i="1"/>
  <c r="H702" i="1"/>
  <c r="S697" i="1"/>
  <c r="O697" i="1"/>
  <c r="M697" i="1"/>
  <c r="L697" i="1"/>
  <c r="K697" i="1"/>
  <c r="J697" i="1"/>
  <c r="I697" i="1"/>
  <c r="F697" i="1"/>
  <c r="R695" i="1"/>
  <c r="N695" i="1"/>
  <c r="H695" i="1"/>
  <c r="R694" i="1"/>
  <c r="N694" i="1"/>
  <c r="H694" i="1"/>
  <c r="B694" i="1"/>
  <c r="B695" i="1" s="1"/>
  <c r="R693" i="1"/>
  <c r="N693" i="1"/>
  <c r="H693" i="1"/>
  <c r="P690" i="1"/>
  <c r="N690" i="1"/>
  <c r="H690" i="1"/>
  <c r="R689" i="1"/>
  <c r="N689" i="1"/>
  <c r="H689" i="1"/>
  <c r="R688" i="1"/>
  <c r="N688" i="1"/>
  <c r="H688" i="1"/>
  <c r="R687" i="1"/>
  <c r="N687" i="1"/>
  <c r="H687" i="1"/>
  <c r="R686" i="1"/>
  <c r="N686" i="1"/>
  <c r="H686" i="1"/>
  <c r="P685" i="1"/>
  <c r="R685" i="1" s="1"/>
  <c r="N685" i="1"/>
  <c r="H685" i="1"/>
  <c r="B685" i="1"/>
  <c r="B686" i="1" s="1"/>
  <c r="R684" i="1"/>
  <c r="N684" i="1"/>
  <c r="H684" i="1"/>
  <c r="S679" i="1"/>
  <c r="O679" i="1"/>
  <c r="M679" i="1"/>
  <c r="L679" i="1"/>
  <c r="K679" i="1"/>
  <c r="J679" i="1"/>
  <c r="I679" i="1"/>
  <c r="F679" i="1"/>
  <c r="R677" i="1"/>
  <c r="N677" i="1"/>
  <c r="H677" i="1"/>
  <c r="R676" i="1"/>
  <c r="N676" i="1"/>
  <c r="H676" i="1"/>
  <c r="B676" i="1"/>
  <c r="B677" i="1" s="1"/>
  <c r="R675" i="1"/>
  <c r="N675" i="1"/>
  <c r="H675" i="1"/>
  <c r="R672" i="1"/>
  <c r="N672" i="1"/>
  <c r="H672" i="1"/>
  <c r="R671" i="1"/>
  <c r="N671" i="1"/>
  <c r="H671" i="1"/>
  <c r="R670" i="1"/>
  <c r="N670" i="1"/>
  <c r="H670" i="1"/>
  <c r="R669" i="1"/>
  <c r="N669" i="1"/>
  <c r="H669" i="1"/>
  <c r="R668" i="1"/>
  <c r="N668" i="1"/>
  <c r="H668" i="1"/>
  <c r="R667" i="1"/>
  <c r="N667" i="1"/>
  <c r="H667" i="1"/>
  <c r="R666" i="1"/>
  <c r="N666" i="1"/>
  <c r="H666" i="1"/>
  <c r="P665" i="1"/>
  <c r="N665" i="1"/>
  <c r="H665" i="1"/>
  <c r="R664" i="1"/>
  <c r="N664" i="1"/>
  <c r="H664" i="1"/>
  <c r="P663" i="1"/>
  <c r="N663" i="1"/>
  <c r="H663" i="1"/>
  <c r="R662" i="1"/>
  <c r="N662" i="1"/>
  <c r="H662" i="1"/>
  <c r="P661" i="1"/>
  <c r="N661" i="1"/>
  <c r="H661" i="1"/>
  <c r="R660" i="1"/>
  <c r="N660" i="1"/>
  <c r="H660" i="1"/>
  <c r="P659" i="1"/>
  <c r="R659" i="1" s="1"/>
  <c r="N659" i="1"/>
  <c r="H659" i="1"/>
  <c r="R658" i="1"/>
  <c r="N658" i="1"/>
  <c r="H658" i="1"/>
  <c r="P657" i="1"/>
  <c r="N657" i="1"/>
  <c r="H657" i="1"/>
  <c r="R656" i="1"/>
  <c r="N656" i="1"/>
  <c r="H656" i="1"/>
  <c r="P655" i="1"/>
  <c r="N655" i="1"/>
  <c r="H655" i="1"/>
  <c r="R654" i="1"/>
  <c r="N654" i="1"/>
  <c r="H654" i="1"/>
  <c r="P653" i="1"/>
  <c r="N653" i="1"/>
  <c r="H653" i="1"/>
  <c r="R652" i="1"/>
  <c r="N652" i="1"/>
  <c r="H652" i="1"/>
  <c r="R651" i="1"/>
  <c r="N651" i="1"/>
  <c r="H651" i="1"/>
  <c r="R650" i="1"/>
  <c r="N650" i="1"/>
  <c r="H650" i="1"/>
  <c r="B650" i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R649" i="1"/>
  <c r="N649" i="1"/>
  <c r="H649" i="1"/>
  <c r="S644" i="1"/>
  <c r="O644" i="1"/>
  <c r="M644" i="1"/>
  <c r="L644" i="1"/>
  <c r="K644" i="1"/>
  <c r="J644" i="1"/>
  <c r="I644" i="1"/>
  <c r="F644" i="1"/>
  <c r="R642" i="1"/>
  <c r="N642" i="1"/>
  <c r="H642" i="1"/>
  <c r="R641" i="1"/>
  <c r="N641" i="1"/>
  <c r="H641" i="1"/>
  <c r="R640" i="1"/>
  <c r="N640" i="1"/>
  <c r="H640" i="1"/>
  <c r="R639" i="1"/>
  <c r="N639" i="1"/>
  <c r="H639" i="1"/>
  <c r="R638" i="1"/>
  <c r="N638" i="1"/>
  <c r="H638" i="1"/>
  <c r="R637" i="1"/>
  <c r="N637" i="1"/>
  <c r="H637" i="1"/>
  <c r="R636" i="1"/>
  <c r="N636" i="1"/>
  <c r="H636" i="1"/>
  <c r="R635" i="1"/>
  <c r="N635" i="1"/>
  <c r="H635" i="1"/>
  <c r="R634" i="1"/>
  <c r="N634" i="1"/>
  <c r="H634" i="1"/>
  <c r="P633" i="1"/>
  <c r="N633" i="1"/>
  <c r="H633" i="1"/>
  <c r="P632" i="1"/>
  <c r="N632" i="1"/>
  <c r="H632" i="1"/>
  <c r="B632" i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R631" i="1"/>
  <c r="N631" i="1"/>
  <c r="H631" i="1"/>
  <c r="S626" i="1"/>
  <c r="O626" i="1"/>
  <c r="M626" i="1"/>
  <c r="L626" i="1"/>
  <c r="K626" i="1"/>
  <c r="J626" i="1"/>
  <c r="I626" i="1"/>
  <c r="F626" i="1"/>
  <c r="P624" i="1"/>
  <c r="R624" i="1" s="1"/>
  <c r="N624" i="1"/>
  <c r="H624" i="1"/>
  <c r="R623" i="1"/>
  <c r="N623" i="1"/>
  <c r="H623" i="1"/>
  <c r="R622" i="1"/>
  <c r="N622" i="1"/>
  <c r="H622" i="1"/>
  <c r="P621" i="1"/>
  <c r="R621" i="1" s="1"/>
  <c r="N621" i="1"/>
  <c r="H621" i="1"/>
  <c r="P620" i="1"/>
  <c r="N620" i="1"/>
  <c r="H620" i="1"/>
  <c r="B620" i="1"/>
  <c r="B621" i="1" s="1"/>
  <c r="B622" i="1" s="1"/>
  <c r="B623" i="1" s="1"/>
  <c r="B624" i="1" s="1"/>
  <c r="R619" i="1"/>
  <c r="N619" i="1"/>
  <c r="H619" i="1"/>
  <c r="S614" i="1"/>
  <c r="O614" i="1"/>
  <c r="M614" i="1"/>
  <c r="L614" i="1"/>
  <c r="J614" i="1"/>
  <c r="I614" i="1"/>
  <c r="F614" i="1"/>
  <c r="R612" i="1"/>
  <c r="N612" i="1"/>
  <c r="H612" i="1"/>
  <c r="R611" i="1"/>
  <c r="N611" i="1"/>
  <c r="H611" i="1"/>
  <c r="R610" i="1"/>
  <c r="N610" i="1"/>
  <c r="H610" i="1"/>
  <c r="R609" i="1"/>
  <c r="N609" i="1"/>
  <c r="H609" i="1"/>
  <c r="R608" i="1"/>
  <c r="N608" i="1"/>
  <c r="H608" i="1"/>
  <c r="P607" i="1"/>
  <c r="R607" i="1" s="1"/>
  <c r="N607" i="1"/>
  <c r="H607" i="1"/>
  <c r="R606" i="1"/>
  <c r="N606" i="1"/>
  <c r="H606" i="1"/>
  <c r="R605" i="1"/>
  <c r="N605" i="1"/>
  <c r="H605" i="1"/>
  <c r="R604" i="1"/>
  <c r="N604" i="1"/>
  <c r="H604" i="1"/>
  <c r="R603" i="1"/>
  <c r="N603" i="1"/>
  <c r="H603" i="1"/>
  <c r="R602" i="1"/>
  <c r="N602" i="1"/>
  <c r="H602" i="1"/>
  <c r="B602" i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R601" i="1"/>
  <c r="N601" i="1"/>
  <c r="K601" i="1"/>
  <c r="K614" i="1" s="1"/>
  <c r="H601" i="1"/>
  <c r="S596" i="1"/>
  <c r="O596" i="1"/>
  <c r="M596" i="1"/>
  <c r="L596" i="1"/>
  <c r="K596" i="1"/>
  <c r="J596" i="1"/>
  <c r="I596" i="1"/>
  <c r="R594" i="1"/>
  <c r="N594" i="1"/>
  <c r="F594" i="1"/>
  <c r="R591" i="1"/>
  <c r="N591" i="1"/>
  <c r="H591" i="1"/>
  <c r="P590" i="1"/>
  <c r="R590" i="1" s="1"/>
  <c r="N590" i="1"/>
  <c r="H590" i="1"/>
  <c r="B590" i="1"/>
  <c r="B591" i="1" s="1"/>
  <c r="R589" i="1"/>
  <c r="N589" i="1"/>
  <c r="H589" i="1"/>
  <c r="S584" i="1"/>
  <c r="O584" i="1"/>
  <c r="M584" i="1"/>
  <c r="L584" i="1"/>
  <c r="K584" i="1"/>
  <c r="J584" i="1"/>
  <c r="I584" i="1"/>
  <c r="F584" i="1"/>
  <c r="R582" i="1"/>
  <c r="N582" i="1"/>
  <c r="H582" i="1"/>
  <c r="Q579" i="1"/>
  <c r="R579" i="1" s="1"/>
  <c r="N579" i="1"/>
  <c r="H579" i="1"/>
  <c r="R578" i="1"/>
  <c r="N578" i="1"/>
  <c r="H578" i="1"/>
  <c r="P577" i="1"/>
  <c r="R577" i="1" s="1"/>
  <c r="N577" i="1"/>
  <c r="H577" i="1"/>
  <c r="R576" i="1"/>
  <c r="N576" i="1"/>
  <c r="H576" i="1"/>
  <c r="B576" i="1"/>
  <c r="B577" i="1" s="1"/>
  <c r="B578" i="1" s="1"/>
  <c r="B579" i="1" s="1"/>
  <c r="R575" i="1"/>
  <c r="N575" i="1"/>
  <c r="H575" i="1"/>
  <c r="S570" i="1"/>
  <c r="O570" i="1"/>
  <c r="M570" i="1"/>
  <c r="L570" i="1"/>
  <c r="K570" i="1"/>
  <c r="J570" i="1"/>
  <c r="I570" i="1"/>
  <c r="F570" i="1"/>
  <c r="R568" i="1"/>
  <c r="N568" i="1"/>
  <c r="H568" i="1"/>
  <c r="B568" i="1"/>
  <c r="R567" i="1"/>
  <c r="N567" i="1"/>
  <c r="H567" i="1"/>
  <c r="P564" i="1"/>
  <c r="N564" i="1"/>
  <c r="H564" i="1"/>
  <c r="R563" i="1"/>
  <c r="N563" i="1"/>
  <c r="H563" i="1"/>
  <c r="R562" i="1"/>
  <c r="N562" i="1"/>
  <c r="H562" i="1"/>
  <c r="R561" i="1"/>
  <c r="N561" i="1"/>
  <c r="H561" i="1"/>
  <c r="R560" i="1"/>
  <c r="N560" i="1"/>
  <c r="H560" i="1"/>
  <c r="R559" i="1"/>
  <c r="N559" i="1"/>
  <c r="H559" i="1"/>
  <c r="B559" i="1"/>
  <c r="P558" i="1"/>
  <c r="N558" i="1"/>
  <c r="H558" i="1"/>
  <c r="S553" i="1"/>
  <c r="O553" i="1"/>
  <c r="M553" i="1"/>
  <c r="L553" i="1"/>
  <c r="K553" i="1"/>
  <c r="J553" i="1"/>
  <c r="I553" i="1"/>
  <c r="F553" i="1"/>
  <c r="R551" i="1"/>
  <c r="N551" i="1"/>
  <c r="H551" i="1"/>
  <c r="R548" i="1"/>
  <c r="N548" i="1"/>
  <c r="H548" i="1"/>
  <c r="R547" i="1"/>
  <c r="N547" i="1"/>
  <c r="H547" i="1"/>
  <c r="R546" i="1"/>
  <c r="P546" i="1"/>
  <c r="N546" i="1"/>
  <c r="H546" i="1"/>
  <c r="P545" i="1"/>
  <c r="N545" i="1"/>
  <c r="H545" i="1"/>
  <c r="R544" i="1"/>
  <c r="N544" i="1"/>
  <c r="H544" i="1"/>
  <c r="R543" i="1"/>
  <c r="N543" i="1"/>
  <c r="H543" i="1"/>
  <c r="R542" i="1"/>
  <c r="N542" i="1"/>
  <c r="H542" i="1"/>
  <c r="R541" i="1"/>
  <c r="N541" i="1"/>
  <c r="H541" i="1"/>
  <c r="R540" i="1"/>
  <c r="N540" i="1"/>
  <c r="H540" i="1"/>
  <c r="P539" i="1"/>
  <c r="N539" i="1"/>
  <c r="H539" i="1"/>
  <c r="B539" i="1"/>
  <c r="B540" i="1" s="1"/>
  <c r="B541" i="1" s="1"/>
  <c r="B542" i="1" s="1"/>
  <c r="B543" i="1" s="1"/>
  <c r="B544" i="1" s="1"/>
  <c r="B545" i="1" s="1"/>
  <c r="B546" i="1" s="1"/>
  <c r="B547" i="1" s="1"/>
  <c r="B548" i="1" s="1"/>
  <c r="P538" i="1"/>
  <c r="N538" i="1"/>
  <c r="H538" i="1"/>
  <c r="S533" i="1"/>
  <c r="O533" i="1"/>
  <c r="M533" i="1"/>
  <c r="L533" i="1"/>
  <c r="K533" i="1"/>
  <c r="J533" i="1"/>
  <c r="I533" i="1"/>
  <c r="F533" i="1"/>
  <c r="R531" i="1"/>
  <c r="N531" i="1"/>
  <c r="H531" i="1"/>
  <c r="R530" i="1"/>
  <c r="N530" i="1"/>
  <c r="H530" i="1"/>
  <c r="R529" i="1"/>
  <c r="N529" i="1"/>
  <c r="H529" i="1"/>
  <c r="R528" i="1"/>
  <c r="N528" i="1"/>
  <c r="H528" i="1"/>
  <c r="B528" i="1"/>
  <c r="B529" i="1" s="1"/>
  <c r="B530" i="1" s="1"/>
  <c r="B531" i="1" s="1"/>
  <c r="R527" i="1"/>
  <c r="N527" i="1"/>
  <c r="H527" i="1"/>
  <c r="R524" i="1"/>
  <c r="N524" i="1"/>
  <c r="H524" i="1"/>
  <c r="R523" i="1"/>
  <c r="N523" i="1"/>
  <c r="H523" i="1"/>
  <c r="R522" i="1"/>
  <c r="N522" i="1"/>
  <c r="H522" i="1"/>
  <c r="R521" i="1"/>
  <c r="N521" i="1"/>
  <c r="H521" i="1"/>
  <c r="P520" i="1"/>
  <c r="R520" i="1" s="1"/>
  <c r="N520" i="1"/>
  <c r="H520" i="1"/>
  <c r="P519" i="1"/>
  <c r="N519" i="1"/>
  <c r="H519" i="1"/>
  <c r="R518" i="1"/>
  <c r="N518" i="1"/>
  <c r="H518" i="1"/>
  <c r="R517" i="1"/>
  <c r="N517" i="1"/>
  <c r="H517" i="1"/>
  <c r="R516" i="1"/>
  <c r="N516" i="1"/>
  <c r="H516" i="1"/>
  <c r="R515" i="1"/>
  <c r="N515" i="1"/>
  <c r="H515" i="1"/>
  <c r="R514" i="1"/>
  <c r="N514" i="1"/>
  <c r="H514" i="1"/>
  <c r="B514" i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R513" i="1"/>
  <c r="N513" i="1"/>
  <c r="H513" i="1"/>
  <c r="S508" i="1"/>
  <c r="O508" i="1"/>
  <c r="M508" i="1"/>
  <c r="L508" i="1"/>
  <c r="K508" i="1"/>
  <c r="J508" i="1"/>
  <c r="I508" i="1"/>
  <c r="F508" i="1"/>
  <c r="R506" i="1"/>
  <c r="N506" i="1"/>
  <c r="H506" i="1"/>
  <c r="P505" i="1"/>
  <c r="R505" i="1" s="1"/>
  <c r="N505" i="1"/>
  <c r="H505" i="1"/>
  <c r="P504" i="1"/>
  <c r="N504" i="1"/>
  <c r="H504" i="1"/>
  <c r="B504" i="1"/>
  <c r="B505" i="1" s="1"/>
  <c r="B506" i="1" s="1"/>
  <c r="B508" i="1" s="1"/>
  <c r="P503" i="1"/>
  <c r="R503" i="1" s="1"/>
  <c r="N503" i="1"/>
  <c r="H503" i="1"/>
  <c r="S498" i="1"/>
  <c r="O498" i="1"/>
  <c r="M498" i="1"/>
  <c r="L498" i="1"/>
  <c r="K498" i="1"/>
  <c r="J498" i="1"/>
  <c r="I498" i="1"/>
  <c r="F498" i="1"/>
  <c r="R496" i="1"/>
  <c r="N496" i="1"/>
  <c r="H496" i="1"/>
  <c r="P495" i="1"/>
  <c r="N495" i="1"/>
  <c r="H495" i="1"/>
  <c r="R494" i="1"/>
  <c r="N494" i="1"/>
  <c r="H494" i="1"/>
  <c r="P493" i="1"/>
  <c r="N493" i="1"/>
  <c r="H493" i="1"/>
  <c r="R492" i="1"/>
  <c r="N492" i="1"/>
  <c r="H492" i="1"/>
  <c r="R491" i="1"/>
  <c r="N491" i="1"/>
  <c r="H491" i="1"/>
  <c r="R490" i="1"/>
  <c r="N490" i="1"/>
  <c r="H490" i="1"/>
  <c r="B490" i="1"/>
  <c r="B491" i="1" s="1"/>
  <c r="B492" i="1" s="1"/>
  <c r="B493" i="1" s="1"/>
  <c r="B494" i="1" s="1"/>
  <c r="B495" i="1" s="1"/>
  <c r="B496" i="1" s="1"/>
  <c r="P489" i="1"/>
  <c r="R489" i="1" s="1"/>
  <c r="N489" i="1"/>
  <c r="H489" i="1"/>
  <c r="S484" i="1"/>
  <c r="O484" i="1"/>
  <c r="M484" i="1"/>
  <c r="L484" i="1"/>
  <c r="K484" i="1"/>
  <c r="J484" i="1"/>
  <c r="I484" i="1"/>
  <c r="F484" i="1"/>
  <c r="R482" i="1"/>
  <c r="N482" i="1"/>
  <c r="H482" i="1"/>
  <c r="R481" i="1"/>
  <c r="N481" i="1"/>
  <c r="H481" i="1"/>
  <c r="B481" i="1"/>
  <c r="B482" i="1" s="1"/>
  <c r="R480" i="1"/>
  <c r="N480" i="1"/>
  <c r="H480" i="1"/>
  <c r="R477" i="1"/>
  <c r="N477" i="1"/>
  <c r="H477" i="1"/>
  <c r="P476" i="1"/>
  <c r="N476" i="1"/>
  <c r="H476" i="1"/>
  <c r="R475" i="1"/>
  <c r="N475" i="1"/>
  <c r="H475" i="1"/>
  <c r="R474" i="1"/>
  <c r="N474" i="1"/>
  <c r="H474" i="1"/>
  <c r="P473" i="1"/>
  <c r="N473" i="1"/>
  <c r="H473" i="1"/>
  <c r="P472" i="1"/>
  <c r="R472" i="1" s="1"/>
  <c r="N472" i="1"/>
  <c r="H472" i="1"/>
  <c r="R471" i="1"/>
  <c r="N471" i="1"/>
  <c r="H471" i="1"/>
  <c r="P470" i="1"/>
  <c r="R470" i="1" s="1"/>
  <c r="N470" i="1"/>
  <c r="H470" i="1"/>
  <c r="R469" i="1"/>
  <c r="N469" i="1"/>
  <c r="H469" i="1"/>
  <c r="P468" i="1"/>
  <c r="N468" i="1"/>
  <c r="H468" i="1"/>
  <c r="R467" i="1"/>
  <c r="N467" i="1"/>
  <c r="H467" i="1"/>
  <c r="P466" i="1"/>
  <c r="N466" i="1"/>
  <c r="H466" i="1"/>
  <c r="P465" i="1"/>
  <c r="R465" i="1" s="1"/>
  <c r="N465" i="1"/>
  <c r="H465" i="1"/>
  <c r="B465" i="1"/>
  <c r="R464" i="1"/>
  <c r="N464" i="1"/>
  <c r="H464" i="1"/>
  <c r="S459" i="1"/>
  <c r="O459" i="1"/>
  <c r="M459" i="1"/>
  <c r="L459" i="1"/>
  <c r="K459" i="1"/>
  <c r="J459" i="1"/>
  <c r="I459" i="1"/>
  <c r="F459" i="1"/>
  <c r="R457" i="1"/>
  <c r="N457" i="1"/>
  <c r="H457" i="1"/>
  <c r="R456" i="1"/>
  <c r="N456" i="1"/>
  <c r="H456" i="1"/>
  <c r="R455" i="1"/>
  <c r="N455" i="1"/>
  <c r="H455" i="1"/>
  <c r="B455" i="1"/>
  <c r="B456" i="1" s="1"/>
  <c r="B457" i="1" s="1"/>
  <c r="R454" i="1"/>
  <c r="N454" i="1"/>
  <c r="H454" i="1"/>
  <c r="S449" i="1"/>
  <c r="O449" i="1"/>
  <c r="M449" i="1"/>
  <c r="L449" i="1"/>
  <c r="K449" i="1"/>
  <c r="J449" i="1"/>
  <c r="I449" i="1"/>
  <c r="F449" i="1"/>
  <c r="R447" i="1"/>
  <c r="N447" i="1"/>
  <c r="H447" i="1"/>
  <c r="P446" i="1"/>
  <c r="N446" i="1"/>
  <c r="H446" i="1"/>
  <c r="B446" i="1"/>
  <c r="R445" i="1"/>
  <c r="N445" i="1"/>
  <c r="H445" i="1"/>
  <c r="S440" i="1"/>
  <c r="O440" i="1"/>
  <c r="M440" i="1"/>
  <c r="L440" i="1"/>
  <c r="K440" i="1"/>
  <c r="J440" i="1"/>
  <c r="I440" i="1"/>
  <c r="F440" i="1"/>
  <c r="R438" i="1"/>
  <c r="N438" i="1"/>
  <c r="H438" i="1"/>
  <c r="R437" i="1"/>
  <c r="N437" i="1"/>
  <c r="H437" i="1"/>
  <c r="B437" i="1"/>
  <c r="B438" i="1" s="1"/>
  <c r="R436" i="1"/>
  <c r="N436" i="1"/>
  <c r="H436" i="1"/>
  <c r="R432" i="1"/>
  <c r="N432" i="1"/>
  <c r="H432" i="1"/>
  <c r="R431" i="1"/>
  <c r="N431" i="1"/>
  <c r="H431" i="1"/>
  <c r="R430" i="1"/>
  <c r="N430" i="1"/>
  <c r="H430" i="1"/>
  <c r="R429" i="1"/>
  <c r="N429" i="1"/>
  <c r="H429" i="1"/>
  <c r="R428" i="1"/>
  <c r="N428" i="1"/>
  <c r="H428" i="1"/>
  <c r="R427" i="1"/>
  <c r="N427" i="1"/>
  <c r="H427" i="1"/>
  <c r="R426" i="1"/>
  <c r="N426" i="1"/>
  <c r="H426" i="1"/>
  <c r="R425" i="1"/>
  <c r="N425" i="1"/>
  <c r="H425" i="1"/>
  <c r="R424" i="1"/>
  <c r="N424" i="1"/>
  <c r="H424" i="1"/>
  <c r="R423" i="1"/>
  <c r="N423" i="1"/>
  <c r="H423" i="1"/>
  <c r="R422" i="1"/>
  <c r="N422" i="1"/>
  <c r="H422" i="1"/>
  <c r="P421" i="1"/>
  <c r="N421" i="1"/>
  <c r="H421" i="1"/>
  <c r="R420" i="1"/>
  <c r="N420" i="1"/>
  <c r="H420" i="1"/>
  <c r="R419" i="1"/>
  <c r="N419" i="1"/>
  <c r="H419" i="1"/>
  <c r="R418" i="1"/>
  <c r="N418" i="1"/>
  <c r="H418" i="1"/>
  <c r="R417" i="1"/>
  <c r="P417" i="1"/>
  <c r="N417" i="1"/>
  <c r="H417" i="1"/>
  <c r="B417" i="1"/>
  <c r="R416" i="1"/>
  <c r="N416" i="1"/>
  <c r="H416" i="1"/>
  <c r="S411" i="1"/>
  <c r="O411" i="1"/>
  <c r="M411" i="1"/>
  <c r="L411" i="1"/>
  <c r="K411" i="1"/>
  <c r="J411" i="1"/>
  <c r="I411" i="1"/>
  <c r="F411" i="1"/>
  <c r="R409" i="1"/>
  <c r="N409" i="1"/>
  <c r="H409" i="1"/>
  <c r="R408" i="1"/>
  <c r="N408" i="1"/>
  <c r="H408" i="1"/>
  <c r="R407" i="1"/>
  <c r="N407" i="1"/>
  <c r="H407" i="1"/>
  <c r="R406" i="1"/>
  <c r="N406" i="1"/>
  <c r="H406" i="1"/>
  <c r="B406" i="1"/>
  <c r="B407" i="1" s="1"/>
  <c r="B408" i="1" s="1"/>
  <c r="B409" i="1" s="1"/>
  <c r="R405" i="1"/>
  <c r="N405" i="1"/>
  <c r="H405" i="1"/>
  <c r="R402" i="1"/>
  <c r="N402" i="1"/>
  <c r="H402" i="1"/>
  <c r="R401" i="1"/>
  <c r="N401" i="1"/>
  <c r="H401" i="1"/>
  <c r="R400" i="1"/>
  <c r="N400" i="1"/>
  <c r="H400" i="1"/>
  <c r="R399" i="1"/>
  <c r="N399" i="1"/>
  <c r="H399" i="1"/>
  <c r="R398" i="1"/>
  <c r="N398" i="1"/>
  <c r="H398" i="1"/>
  <c r="R397" i="1"/>
  <c r="N397" i="1"/>
  <c r="H397" i="1"/>
  <c r="R396" i="1"/>
  <c r="N396" i="1"/>
  <c r="H396" i="1"/>
  <c r="R395" i="1"/>
  <c r="N395" i="1"/>
  <c r="H395" i="1"/>
  <c r="R394" i="1"/>
  <c r="N394" i="1"/>
  <c r="H394" i="1"/>
  <c r="Q393" i="1"/>
  <c r="P393" i="1"/>
  <c r="N393" i="1"/>
  <c r="H393" i="1"/>
  <c r="R392" i="1"/>
  <c r="N392" i="1"/>
  <c r="H392" i="1"/>
  <c r="R391" i="1"/>
  <c r="N391" i="1"/>
  <c r="H391" i="1"/>
  <c r="Q390" i="1"/>
  <c r="R390" i="1" s="1"/>
  <c r="N390" i="1"/>
  <c r="H390" i="1"/>
  <c r="R389" i="1"/>
  <c r="N389" i="1"/>
  <c r="H389" i="1"/>
  <c r="R388" i="1"/>
  <c r="N388" i="1"/>
  <c r="H388" i="1"/>
  <c r="R387" i="1"/>
  <c r="N387" i="1"/>
  <c r="H387" i="1"/>
  <c r="R386" i="1"/>
  <c r="N386" i="1"/>
  <c r="H386" i="1"/>
  <c r="R385" i="1"/>
  <c r="N385" i="1"/>
  <c r="H385" i="1"/>
  <c r="R384" i="1"/>
  <c r="N384" i="1"/>
  <c r="H384" i="1"/>
  <c r="R383" i="1"/>
  <c r="N383" i="1"/>
  <c r="H383" i="1"/>
  <c r="R382" i="1"/>
  <c r="N382" i="1"/>
  <c r="H382" i="1"/>
  <c r="R381" i="1"/>
  <c r="N381" i="1"/>
  <c r="H381" i="1"/>
  <c r="R380" i="1"/>
  <c r="N380" i="1"/>
  <c r="H380" i="1"/>
  <c r="B380" i="1"/>
  <c r="P379" i="1"/>
  <c r="N379" i="1"/>
  <c r="H379" i="1"/>
  <c r="S374" i="1"/>
  <c r="O374" i="1"/>
  <c r="M374" i="1"/>
  <c r="L374" i="1"/>
  <c r="K374" i="1"/>
  <c r="J374" i="1"/>
  <c r="I374" i="1"/>
  <c r="F374" i="1"/>
  <c r="R373" i="1"/>
  <c r="N373" i="1"/>
  <c r="H373" i="1"/>
  <c r="B373" i="1"/>
  <c r="B374" i="1" s="1"/>
  <c r="R372" i="1"/>
  <c r="N372" i="1"/>
  <c r="N374" i="1" s="1"/>
  <c r="H372" i="1"/>
  <c r="S366" i="1"/>
  <c r="O366" i="1"/>
  <c r="M366" i="1"/>
  <c r="L366" i="1"/>
  <c r="K366" i="1"/>
  <c r="J366" i="1"/>
  <c r="I366" i="1"/>
  <c r="F366" i="1"/>
  <c r="R364" i="1"/>
  <c r="N364" i="1"/>
  <c r="H364" i="1"/>
  <c r="R363" i="1"/>
  <c r="N363" i="1"/>
  <c r="H363" i="1"/>
  <c r="R362" i="1"/>
  <c r="N362" i="1"/>
  <c r="H362" i="1"/>
  <c r="B362" i="1"/>
  <c r="B363" i="1" s="1"/>
  <c r="B364" i="1" s="1"/>
  <c r="R361" i="1"/>
  <c r="N361" i="1"/>
  <c r="H361" i="1"/>
  <c r="R358" i="1"/>
  <c r="N358" i="1"/>
  <c r="H358" i="1"/>
  <c r="R357" i="1"/>
  <c r="N357" i="1"/>
  <c r="H357" i="1"/>
  <c r="R356" i="1"/>
  <c r="N356" i="1"/>
  <c r="H356" i="1"/>
  <c r="R355" i="1"/>
  <c r="N355" i="1"/>
  <c r="H355" i="1"/>
  <c r="R354" i="1"/>
  <c r="N354" i="1"/>
  <c r="H354" i="1"/>
  <c r="B354" i="1"/>
  <c r="B355" i="1" s="1"/>
  <c r="B356" i="1" s="1"/>
  <c r="B357" i="1" s="1"/>
  <c r="B358" i="1" s="1"/>
  <c r="P353" i="1"/>
  <c r="N353" i="1"/>
  <c r="H353" i="1"/>
  <c r="S348" i="1"/>
  <c r="O348" i="1"/>
  <c r="M348" i="1"/>
  <c r="L348" i="1"/>
  <c r="K348" i="1"/>
  <c r="J348" i="1"/>
  <c r="I348" i="1"/>
  <c r="F348" i="1"/>
  <c r="B348" i="1"/>
  <c r="R346" i="1"/>
  <c r="N346" i="1"/>
  <c r="H346" i="1"/>
  <c r="R343" i="1"/>
  <c r="N343" i="1"/>
  <c r="N348" i="1" s="1"/>
  <c r="H343" i="1"/>
  <c r="S338" i="1"/>
  <c r="L338" i="1"/>
  <c r="J338" i="1"/>
  <c r="I338" i="1"/>
  <c r="F338" i="1"/>
  <c r="R336" i="1"/>
  <c r="N336" i="1"/>
  <c r="H336" i="1"/>
  <c r="R335" i="1"/>
  <c r="N335" i="1"/>
  <c r="H335" i="1"/>
  <c r="R334" i="1"/>
  <c r="N334" i="1"/>
  <c r="H334" i="1"/>
  <c r="R333" i="1"/>
  <c r="N333" i="1"/>
  <c r="H333" i="1"/>
  <c r="R332" i="1"/>
  <c r="N332" i="1"/>
  <c r="H332" i="1"/>
  <c r="R331" i="1"/>
  <c r="N331" i="1"/>
  <c r="H331" i="1"/>
  <c r="R330" i="1"/>
  <c r="N330" i="1"/>
  <c r="H330" i="1"/>
  <c r="R329" i="1"/>
  <c r="N329" i="1"/>
  <c r="H329" i="1"/>
  <c r="R328" i="1"/>
  <c r="N328" i="1"/>
  <c r="H328" i="1"/>
  <c r="R327" i="1"/>
  <c r="N327" i="1"/>
  <c r="H327" i="1"/>
  <c r="R326" i="1"/>
  <c r="N326" i="1"/>
  <c r="H326" i="1"/>
  <c r="R325" i="1"/>
  <c r="N325" i="1"/>
  <c r="H325" i="1"/>
  <c r="R324" i="1"/>
  <c r="N324" i="1"/>
  <c r="H324" i="1"/>
  <c r="R323" i="1"/>
  <c r="N323" i="1"/>
  <c r="H323" i="1"/>
  <c r="R322" i="1"/>
  <c r="N322" i="1"/>
  <c r="H322" i="1"/>
  <c r="R321" i="1"/>
  <c r="N321" i="1"/>
  <c r="H321" i="1"/>
  <c r="R320" i="1"/>
  <c r="N320" i="1"/>
  <c r="H320" i="1"/>
  <c r="R319" i="1"/>
  <c r="N319" i="1"/>
  <c r="H319" i="1"/>
  <c r="B319" i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R318" i="1"/>
  <c r="N318" i="1"/>
  <c r="H318" i="1"/>
  <c r="R315" i="1"/>
  <c r="N315" i="1"/>
  <c r="H315" i="1"/>
  <c r="R314" i="1"/>
  <c r="N314" i="1"/>
  <c r="H314" i="1"/>
  <c r="R313" i="1"/>
  <c r="N313" i="1"/>
  <c r="H313" i="1"/>
  <c r="R312" i="1"/>
  <c r="N312" i="1"/>
  <c r="H312" i="1"/>
  <c r="R311" i="1"/>
  <c r="N311" i="1"/>
  <c r="H311" i="1"/>
  <c r="R310" i="1"/>
  <c r="N310" i="1"/>
  <c r="H310" i="1"/>
  <c r="R309" i="1"/>
  <c r="N309" i="1"/>
  <c r="H309" i="1"/>
  <c r="R308" i="1"/>
  <c r="N308" i="1"/>
  <c r="H308" i="1"/>
  <c r="R307" i="1"/>
  <c r="N307" i="1"/>
  <c r="H307" i="1"/>
  <c r="R306" i="1"/>
  <c r="N306" i="1"/>
  <c r="H306" i="1"/>
  <c r="P305" i="1"/>
  <c r="R305" i="1" s="1"/>
  <c r="N305" i="1"/>
  <c r="H305" i="1"/>
  <c r="R304" i="1"/>
  <c r="N304" i="1"/>
  <c r="H304" i="1"/>
  <c r="R303" i="1"/>
  <c r="N303" i="1"/>
  <c r="H303" i="1"/>
  <c r="P302" i="1"/>
  <c r="R302" i="1" s="1"/>
  <c r="N302" i="1"/>
  <c r="H302" i="1"/>
  <c r="R301" i="1"/>
  <c r="N301" i="1"/>
  <c r="H301" i="1"/>
  <c r="R300" i="1"/>
  <c r="N300" i="1"/>
  <c r="H300" i="1"/>
  <c r="R299" i="1"/>
  <c r="N299" i="1"/>
  <c r="H299" i="1"/>
  <c r="R298" i="1"/>
  <c r="N298" i="1"/>
  <c r="H298" i="1"/>
  <c r="R297" i="1"/>
  <c r="N297" i="1"/>
  <c r="H297" i="1"/>
  <c r="P296" i="1"/>
  <c r="N296" i="1"/>
  <c r="H296" i="1"/>
  <c r="R295" i="1"/>
  <c r="N295" i="1"/>
  <c r="H295" i="1"/>
  <c r="R294" i="1"/>
  <c r="N294" i="1"/>
  <c r="H294" i="1"/>
  <c r="R293" i="1"/>
  <c r="N293" i="1"/>
  <c r="H293" i="1"/>
  <c r="P292" i="1"/>
  <c r="R292" i="1" s="1"/>
  <c r="N292" i="1"/>
  <c r="H292" i="1"/>
  <c r="R291" i="1"/>
  <c r="N291" i="1"/>
  <c r="H291" i="1"/>
  <c r="P290" i="1"/>
  <c r="O290" i="1"/>
  <c r="O338" i="1" s="1"/>
  <c r="M290" i="1"/>
  <c r="M338" i="1" s="1"/>
  <c r="K290" i="1"/>
  <c r="K338" i="1" s="1"/>
  <c r="H290" i="1"/>
  <c r="R289" i="1"/>
  <c r="N289" i="1"/>
  <c r="H289" i="1"/>
  <c r="R288" i="1"/>
  <c r="N288" i="1"/>
  <c r="H288" i="1"/>
  <c r="R287" i="1"/>
  <c r="N287" i="1"/>
  <c r="H287" i="1"/>
  <c r="R286" i="1"/>
  <c r="N286" i="1"/>
  <c r="H286" i="1"/>
  <c r="R285" i="1"/>
  <c r="N285" i="1"/>
  <c r="H285" i="1"/>
  <c r="R284" i="1"/>
  <c r="N284" i="1"/>
  <c r="H284" i="1"/>
  <c r="B284" i="1"/>
  <c r="R283" i="1"/>
  <c r="N283" i="1"/>
  <c r="H283" i="1"/>
  <c r="S278" i="1"/>
  <c r="O278" i="1"/>
  <c r="M278" i="1"/>
  <c r="L278" i="1"/>
  <c r="K278" i="1"/>
  <c r="J278" i="1"/>
  <c r="I278" i="1"/>
  <c r="F278" i="1"/>
  <c r="R276" i="1"/>
  <c r="N276" i="1"/>
  <c r="H276" i="1"/>
  <c r="R275" i="1"/>
  <c r="N275" i="1"/>
  <c r="H275" i="1"/>
  <c r="R274" i="1"/>
  <c r="N274" i="1"/>
  <c r="H274" i="1"/>
  <c r="B274" i="1"/>
  <c r="B275" i="1" s="1"/>
  <c r="B276" i="1" s="1"/>
  <c r="R273" i="1"/>
  <c r="N273" i="1"/>
  <c r="H273" i="1"/>
  <c r="R270" i="1"/>
  <c r="N270" i="1"/>
  <c r="H270" i="1"/>
  <c r="R269" i="1"/>
  <c r="N269" i="1"/>
  <c r="H269" i="1"/>
  <c r="R268" i="1"/>
  <c r="N268" i="1"/>
  <c r="H268" i="1"/>
  <c r="R267" i="1"/>
  <c r="N267" i="1"/>
  <c r="H267" i="1"/>
  <c r="R266" i="1"/>
  <c r="N266" i="1"/>
  <c r="H266" i="1"/>
  <c r="R265" i="1"/>
  <c r="N265" i="1"/>
  <c r="H265" i="1"/>
  <c r="B265" i="1"/>
  <c r="B266" i="1" s="1"/>
  <c r="R264" i="1"/>
  <c r="N264" i="1"/>
  <c r="H264" i="1"/>
  <c r="S259" i="1"/>
  <c r="O259" i="1"/>
  <c r="M259" i="1"/>
  <c r="L259" i="1"/>
  <c r="K259" i="1"/>
  <c r="J259" i="1"/>
  <c r="I259" i="1"/>
  <c r="F259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R253" i="1"/>
  <c r="N253" i="1"/>
  <c r="H253" i="1"/>
  <c r="R252" i="1"/>
  <c r="N252" i="1"/>
  <c r="H252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R246" i="1"/>
  <c r="N246" i="1"/>
  <c r="H246" i="1"/>
  <c r="R245" i="1"/>
  <c r="N245" i="1"/>
  <c r="H245" i="1"/>
  <c r="R244" i="1"/>
  <c r="N244" i="1"/>
  <c r="H244" i="1"/>
  <c r="R243" i="1"/>
  <c r="N243" i="1"/>
  <c r="H243" i="1"/>
  <c r="R242" i="1"/>
  <c r="N242" i="1"/>
  <c r="H242" i="1"/>
  <c r="R241" i="1"/>
  <c r="N241" i="1"/>
  <c r="H241" i="1"/>
  <c r="R240" i="1"/>
  <c r="N240" i="1"/>
  <c r="H240" i="1"/>
  <c r="R239" i="1"/>
  <c r="N239" i="1"/>
  <c r="H239" i="1"/>
  <c r="R238" i="1"/>
  <c r="N238" i="1"/>
  <c r="H238" i="1"/>
  <c r="R237" i="1"/>
  <c r="N237" i="1"/>
  <c r="H237" i="1"/>
  <c r="R236" i="1"/>
  <c r="N236" i="1"/>
  <c r="H236" i="1"/>
  <c r="R235" i="1"/>
  <c r="N235" i="1"/>
  <c r="H235" i="1"/>
  <c r="R234" i="1"/>
  <c r="N234" i="1"/>
  <c r="H234" i="1"/>
  <c r="R233" i="1"/>
  <c r="N233" i="1"/>
  <c r="H233" i="1"/>
  <c r="R232" i="1"/>
  <c r="N232" i="1"/>
  <c r="H232" i="1"/>
  <c r="R231" i="1"/>
  <c r="N231" i="1"/>
  <c r="H231" i="1"/>
  <c r="R230" i="1"/>
  <c r="N230" i="1"/>
  <c r="H230" i="1"/>
  <c r="R229" i="1"/>
  <c r="N229" i="1"/>
  <c r="H229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R228" i="1"/>
  <c r="N228" i="1"/>
  <c r="H228" i="1"/>
  <c r="R225" i="1"/>
  <c r="N225" i="1"/>
  <c r="H225" i="1"/>
  <c r="R224" i="1"/>
  <c r="N224" i="1"/>
  <c r="H224" i="1"/>
  <c r="P223" i="1"/>
  <c r="R223" i="1" s="1"/>
  <c r="N223" i="1"/>
  <c r="H223" i="1"/>
  <c r="R222" i="1"/>
  <c r="N222" i="1"/>
  <c r="H222" i="1"/>
  <c r="R221" i="1"/>
  <c r="N221" i="1"/>
  <c r="H221" i="1"/>
  <c r="R220" i="1"/>
  <c r="N220" i="1"/>
  <c r="H220" i="1"/>
  <c r="R219" i="1"/>
  <c r="N219" i="1"/>
  <c r="H219" i="1"/>
  <c r="R218" i="1"/>
  <c r="N218" i="1"/>
  <c r="H218" i="1"/>
  <c r="R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R210" i="1"/>
  <c r="N210" i="1"/>
  <c r="H210" i="1"/>
  <c r="R209" i="1"/>
  <c r="N209" i="1"/>
  <c r="H209" i="1"/>
  <c r="R208" i="1"/>
  <c r="N208" i="1"/>
  <c r="H208" i="1"/>
  <c r="R207" i="1"/>
  <c r="N207" i="1"/>
  <c r="H207" i="1"/>
  <c r="R206" i="1"/>
  <c r="N206" i="1"/>
  <c r="H206" i="1"/>
  <c r="R205" i="1"/>
  <c r="N205" i="1"/>
  <c r="H205" i="1"/>
  <c r="R204" i="1"/>
  <c r="N204" i="1"/>
  <c r="H204" i="1"/>
  <c r="P203" i="1"/>
  <c r="N203" i="1"/>
  <c r="H203" i="1"/>
  <c r="R202" i="1"/>
  <c r="N202" i="1"/>
  <c r="H202" i="1"/>
  <c r="R201" i="1"/>
  <c r="N201" i="1"/>
  <c r="H201" i="1"/>
  <c r="R200" i="1"/>
  <c r="N200" i="1"/>
  <c r="H200" i="1"/>
  <c r="R199" i="1"/>
  <c r="N199" i="1"/>
  <c r="H199" i="1"/>
  <c r="R198" i="1"/>
  <c r="N198" i="1"/>
  <c r="H198" i="1"/>
  <c r="R197" i="1"/>
  <c r="N197" i="1"/>
  <c r="H197" i="1"/>
  <c r="R196" i="1"/>
  <c r="N196" i="1"/>
  <c r="H196" i="1"/>
  <c r="R195" i="1"/>
  <c r="N195" i="1"/>
  <c r="H195" i="1"/>
  <c r="R194" i="1"/>
  <c r="N194" i="1"/>
  <c r="H194" i="1"/>
  <c r="R193" i="1"/>
  <c r="N193" i="1"/>
  <c r="H193" i="1"/>
  <c r="R192" i="1"/>
  <c r="N192" i="1"/>
  <c r="H192" i="1"/>
  <c r="R191" i="1"/>
  <c r="N191" i="1"/>
  <c r="H191" i="1"/>
  <c r="R190" i="1"/>
  <c r="N190" i="1"/>
  <c r="H190" i="1"/>
  <c r="R189" i="1"/>
  <c r="N189" i="1"/>
  <c r="H189" i="1"/>
  <c r="R188" i="1"/>
  <c r="N188" i="1"/>
  <c r="H188" i="1"/>
  <c r="R187" i="1"/>
  <c r="N187" i="1"/>
  <c r="H187" i="1"/>
  <c r="B187" i="1"/>
  <c r="R186" i="1"/>
  <c r="N186" i="1"/>
  <c r="H186" i="1"/>
  <c r="S181" i="1"/>
  <c r="O181" i="1"/>
  <c r="M181" i="1"/>
  <c r="L181" i="1"/>
  <c r="K181" i="1"/>
  <c r="J181" i="1"/>
  <c r="I181" i="1"/>
  <c r="F181" i="1"/>
  <c r="B181" i="1"/>
  <c r="P179" i="1"/>
  <c r="N179" i="1"/>
  <c r="N181" i="1" s="1"/>
  <c r="H179" i="1"/>
  <c r="S174" i="1"/>
  <c r="O174" i="1"/>
  <c r="M174" i="1"/>
  <c r="L174" i="1"/>
  <c r="K174" i="1"/>
  <c r="J174" i="1"/>
  <c r="I174" i="1"/>
  <c r="F174" i="1"/>
  <c r="R172" i="1"/>
  <c r="N172" i="1"/>
  <c r="H172" i="1"/>
  <c r="R171" i="1"/>
  <c r="N171" i="1"/>
  <c r="H171" i="1"/>
  <c r="R170" i="1"/>
  <c r="N170" i="1"/>
  <c r="H170" i="1"/>
  <c r="R169" i="1"/>
  <c r="N169" i="1"/>
  <c r="H169" i="1"/>
  <c r="R168" i="1"/>
  <c r="N168" i="1"/>
  <c r="H168" i="1"/>
  <c r="B168" i="1"/>
  <c r="B169" i="1" s="1"/>
  <c r="B170" i="1" s="1"/>
  <c r="B171" i="1" s="1"/>
  <c r="B172" i="1" s="1"/>
  <c r="R167" i="1"/>
  <c r="N167" i="1"/>
  <c r="H167" i="1"/>
  <c r="R164" i="1"/>
  <c r="N164" i="1"/>
  <c r="H164" i="1"/>
  <c r="R163" i="1"/>
  <c r="N163" i="1"/>
  <c r="H163" i="1"/>
  <c r="R162" i="1"/>
  <c r="N162" i="1"/>
  <c r="H162" i="1"/>
  <c r="R161" i="1"/>
  <c r="N161" i="1"/>
  <c r="H161" i="1"/>
  <c r="R160" i="1"/>
  <c r="N160" i="1"/>
  <c r="H160" i="1"/>
  <c r="R159" i="1"/>
  <c r="N159" i="1"/>
  <c r="H159" i="1"/>
  <c r="R158" i="1"/>
  <c r="N158" i="1"/>
  <c r="H158" i="1"/>
  <c r="P157" i="1"/>
  <c r="N157" i="1"/>
  <c r="H157" i="1"/>
  <c r="R156" i="1"/>
  <c r="N156" i="1"/>
  <c r="H156" i="1"/>
  <c r="R155" i="1"/>
  <c r="N155" i="1"/>
  <c r="H155" i="1"/>
  <c r="R154" i="1"/>
  <c r="N154" i="1"/>
  <c r="H154" i="1"/>
  <c r="R153" i="1"/>
  <c r="N153" i="1"/>
  <c r="H153" i="1"/>
  <c r="R152" i="1"/>
  <c r="N152" i="1"/>
  <c r="H152" i="1"/>
  <c r="Q151" i="1"/>
  <c r="R151" i="1" s="1"/>
  <c r="N151" i="1"/>
  <c r="H151" i="1"/>
  <c r="P150" i="1"/>
  <c r="R150" i="1" s="1"/>
  <c r="N150" i="1"/>
  <c r="H150" i="1"/>
  <c r="P149" i="1"/>
  <c r="R149" i="1" s="1"/>
  <c r="N149" i="1"/>
  <c r="H149" i="1"/>
  <c r="R148" i="1"/>
  <c r="N148" i="1"/>
  <c r="H148" i="1"/>
  <c r="R147" i="1"/>
  <c r="N147" i="1"/>
  <c r="H147" i="1"/>
  <c r="R146" i="1"/>
  <c r="N146" i="1"/>
  <c r="H146" i="1"/>
  <c r="R145" i="1"/>
  <c r="N145" i="1"/>
  <c r="H145" i="1"/>
  <c r="R144" i="1"/>
  <c r="P144" i="1"/>
  <c r="N144" i="1"/>
  <c r="H144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R143" i="1"/>
  <c r="N143" i="1"/>
  <c r="H143" i="1"/>
  <c r="S138" i="1"/>
  <c r="O138" i="1"/>
  <c r="M138" i="1"/>
  <c r="L138" i="1"/>
  <c r="J138" i="1"/>
  <c r="I138" i="1"/>
  <c r="F138" i="1"/>
  <c r="P136" i="1"/>
  <c r="R136" i="1" s="1"/>
  <c r="N136" i="1"/>
  <c r="H136" i="1"/>
  <c r="R135" i="1"/>
  <c r="N135" i="1"/>
  <c r="H135" i="1"/>
  <c r="R134" i="1"/>
  <c r="N134" i="1"/>
  <c r="K134" i="1"/>
  <c r="K138" i="1" s="1"/>
  <c r="H134" i="1"/>
  <c r="R133" i="1"/>
  <c r="N133" i="1"/>
  <c r="H133" i="1"/>
  <c r="P132" i="1"/>
  <c r="N132" i="1"/>
  <c r="H132" i="1"/>
  <c r="R131" i="1"/>
  <c r="N131" i="1"/>
  <c r="H131" i="1"/>
  <c r="R130" i="1"/>
  <c r="N130" i="1"/>
  <c r="H130" i="1"/>
  <c r="Q129" i="1"/>
  <c r="P129" i="1"/>
  <c r="R129" i="1" s="1"/>
  <c r="N129" i="1"/>
  <c r="H129" i="1"/>
  <c r="P128" i="1"/>
  <c r="N128" i="1"/>
  <c r="H128" i="1"/>
  <c r="R127" i="1"/>
  <c r="N127" i="1"/>
  <c r="H127" i="1"/>
  <c r="R126" i="1"/>
  <c r="N126" i="1"/>
  <c r="H126" i="1"/>
  <c r="P125" i="1"/>
  <c r="N125" i="1"/>
  <c r="H125" i="1"/>
  <c r="R124" i="1"/>
  <c r="N124" i="1"/>
  <c r="H124" i="1"/>
  <c r="R123" i="1"/>
  <c r="N123" i="1"/>
  <c r="H123" i="1"/>
  <c r="R122" i="1"/>
  <c r="N122" i="1"/>
  <c r="H122" i="1"/>
  <c r="R121" i="1"/>
  <c r="N121" i="1"/>
  <c r="H121" i="1"/>
  <c r="R120" i="1"/>
  <c r="N120" i="1"/>
  <c r="H120" i="1"/>
  <c r="P119" i="1"/>
  <c r="R119" i="1" s="1"/>
  <c r="N119" i="1"/>
  <c r="H119" i="1"/>
  <c r="R118" i="1"/>
  <c r="N118" i="1"/>
  <c r="H118" i="1"/>
  <c r="B118" i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P117" i="1"/>
  <c r="N117" i="1"/>
  <c r="H117" i="1"/>
  <c r="S112" i="1"/>
  <c r="O112" i="1"/>
  <c r="M112" i="1"/>
  <c r="L112" i="1"/>
  <c r="J112" i="1"/>
  <c r="I112" i="1"/>
  <c r="F112" i="1"/>
  <c r="R110" i="1"/>
  <c r="N110" i="1"/>
  <c r="H110" i="1"/>
  <c r="R109" i="1"/>
  <c r="N109" i="1"/>
  <c r="H109" i="1"/>
  <c r="R108" i="1"/>
  <c r="N108" i="1"/>
  <c r="H108" i="1"/>
  <c r="R107" i="1"/>
  <c r="N107" i="1"/>
  <c r="H107" i="1"/>
  <c r="R106" i="1"/>
  <c r="N106" i="1"/>
  <c r="H106" i="1"/>
  <c r="B106" i="1"/>
  <c r="B107" i="1" s="1"/>
  <c r="B108" i="1" s="1"/>
  <c r="B109" i="1" s="1"/>
  <c r="B110" i="1" s="1"/>
  <c r="R105" i="1"/>
  <c r="N105" i="1"/>
  <c r="H105" i="1"/>
  <c r="R102" i="1"/>
  <c r="N102" i="1"/>
  <c r="H102" i="1"/>
  <c r="R101" i="1"/>
  <c r="N101" i="1"/>
  <c r="H101" i="1"/>
  <c r="R100" i="1"/>
  <c r="N100" i="1"/>
  <c r="H100" i="1"/>
  <c r="R99" i="1"/>
  <c r="N99" i="1"/>
  <c r="H99" i="1"/>
  <c r="P98" i="1"/>
  <c r="R98" i="1" s="1"/>
  <c r="N98" i="1"/>
  <c r="H98" i="1"/>
  <c r="R97" i="1"/>
  <c r="N97" i="1"/>
  <c r="H97" i="1"/>
  <c r="P96" i="1"/>
  <c r="R96" i="1" s="1"/>
  <c r="N96" i="1"/>
  <c r="H96" i="1"/>
  <c r="R95" i="1"/>
  <c r="N95" i="1"/>
  <c r="H95" i="1"/>
  <c r="R94" i="1"/>
  <c r="N94" i="1"/>
  <c r="H94" i="1"/>
  <c r="R93" i="1"/>
  <c r="N93" i="1"/>
  <c r="H93" i="1"/>
  <c r="R92" i="1"/>
  <c r="N92" i="1"/>
  <c r="H92" i="1"/>
  <c r="R91" i="1"/>
  <c r="N91" i="1"/>
  <c r="H91" i="1"/>
  <c r="R90" i="1"/>
  <c r="N90" i="1"/>
  <c r="H90" i="1"/>
  <c r="R89" i="1"/>
  <c r="N89" i="1"/>
  <c r="H89" i="1"/>
  <c r="R88" i="1"/>
  <c r="N88" i="1"/>
  <c r="H88" i="1"/>
  <c r="R87" i="1"/>
  <c r="N87" i="1"/>
  <c r="H87" i="1"/>
  <c r="P86" i="1"/>
  <c r="R86" i="1" s="1"/>
  <c r="N86" i="1"/>
  <c r="H86" i="1"/>
  <c r="R85" i="1"/>
  <c r="N85" i="1"/>
  <c r="H85" i="1"/>
  <c r="R84" i="1"/>
  <c r="N84" i="1"/>
  <c r="H84" i="1"/>
  <c r="R83" i="1"/>
  <c r="N83" i="1"/>
  <c r="K83" i="1"/>
  <c r="K112" i="1" s="1"/>
  <c r="H83" i="1"/>
  <c r="R82" i="1"/>
  <c r="N82" i="1"/>
  <c r="H82" i="1"/>
  <c r="R81" i="1"/>
  <c r="N81" i="1"/>
  <c r="H81" i="1"/>
  <c r="B81" i="1"/>
  <c r="R80" i="1"/>
  <c r="N80" i="1"/>
  <c r="H80" i="1"/>
  <c r="S75" i="1"/>
  <c r="O75" i="1"/>
  <c r="M75" i="1"/>
  <c r="L75" i="1"/>
  <c r="K75" i="1"/>
  <c r="J75" i="1"/>
  <c r="I75" i="1"/>
  <c r="F75" i="1"/>
  <c r="R73" i="1"/>
  <c r="N73" i="1"/>
  <c r="H73" i="1"/>
  <c r="R72" i="1"/>
  <c r="N72" i="1"/>
  <c r="H72" i="1"/>
  <c r="R71" i="1"/>
  <c r="N71" i="1"/>
  <c r="H71" i="1"/>
  <c r="R70" i="1"/>
  <c r="N70" i="1"/>
  <c r="H70" i="1"/>
  <c r="B70" i="1"/>
  <c r="B71" i="1" s="1"/>
  <c r="B72" i="1" s="1"/>
  <c r="B73" i="1" s="1"/>
  <c r="R69" i="1"/>
  <c r="N69" i="1"/>
  <c r="H69" i="1"/>
  <c r="R66" i="1"/>
  <c r="N66" i="1"/>
  <c r="H66" i="1"/>
  <c r="R65" i="1"/>
  <c r="N65" i="1"/>
  <c r="H65" i="1"/>
  <c r="R64" i="1"/>
  <c r="N64" i="1"/>
  <c r="H64" i="1"/>
  <c r="B64" i="1"/>
  <c r="R63" i="1"/>
  <c r="N63" i="1"/>
  <c r="H63" i="1"/>
  <c r="S58" i="1"/>
  <c r="O58" i="1"/>
  <c r="M58" i="1"/>
  <c r="L58" i="1"/>
  <c r="J58" i="1"/>
  <c r="F58" i="1"/>
  <c r="R56" i="1"/>
  <c r="N56" i="1"/>
  <c r="H56" i="1"/>
  <c r="R55" i="1"/>
  <c r="N55" i="1"/>
  <c r="H55" i="1"/>
  <c r="B55" i="1"/>
  <c r="B56" i="1" s="1"/>
  <c r="R54" i="1"/>
  <c r="N54" i="1"/>
  <c r="H54" i="1"/>
  <c r="R50" i="1"/>
  <c r="N50" i="1"/>
  <c r="H50" i="1"/>
  <c r="R49" i="1"/>
  <c r="N49" i="1"/>
  <c r="H49" i="1"/>
  <c r="R48" i="1"/>
  <c r="N48" i="1"/>
  <c r="H48" i="1"/>
  <c r="R47" i="1"/>
  <c r="N47" i="1"/>
  <c r="H47" i="1"/>
  <c r="R46" i="1"/>
  <c r="N46" i="1"/>
  <c r="H46" i="1"/>
  <c r="R45" i="1"/>
  <c r="N45" i="1"/>
  <c r="H45" i="1"/>
  <c r="R44" i="1"/>
  <c r="N44" i="1"/>
  <c r="H44" i="1"/>
  <c r="R43" i="1"/>
  <c r="N43" i="1"/>
  <c r="H43" i="1"/>
  <c r="R42" i="1"/>
  <c r="N42" i="1"/>
  <c r="H42" i="1"/>
  <c r="R41" i="1"/>
  <c r="N41" i="1"/>
  <c r="H41" i="1"/>
  <c r="R40" i="1"/>
  <c r="N40" i="1"/>
  <c r="I40" i="1"/>
  <c r="I58" i="1" s="1"/>
  <c r="H40" i="1"/>
  <c r="R39" i="1"/>
  <c r="N39" i="1"/>
  <c r="H39" i="1"/>
  <c r="R38" i="1"/>
  <c r="N38" i="1"/>
  <c r="H38" i="1"/>
  <c r="R37" i="1"/>
  <c r="N37" i="1"/>
  <c r="H37" i="1"/>
  <c r="R36" i="1"/>
  <c r="N36" i="1"/>
  <c r="H36" i="1"/>
  <c r="R35" i="1"/>
  <c r="N35" i="1"/>
  <c r="H35" i="1"/>
  <c r="R34" i="1"/>
  <c r="N34" i="1"/>
  <c r="H34" i="1"/>
  <c r="R33" i="1"/>
  <c r="N33" i="1"/>
  <c r="H33" i="1"/>
  <c r="R32" i="1"/>
  <c r="N32" i="1"/>
  <c r="H32" i="1"/>
  <c r="R31" i="1"/>
  <c r="N31" i="1"/>
  <c r="K31" i="1"/>
  <c r="K58" i="1" s="1"/>
  <c r="H31" i="1"/>
  <c r="R30" i="1"/>
  <c r="N30" i="1"/>
  <c r="H30" i="1"/>
  <c r="R29" i="1"/>
  <c r="N29" i="1"/>
  <c r="H29" i="1"/>
  <c r="R28" i="1"/>
  <c r="N28" i="1"/>
  <c r="H28" i="1"/>
  <c r="R27" i="1"/>
  <c r="N27" i="1"/>
  <c r="H27" i="1"/>
  <c r="R26" i="1"/>
  <c r="N26" i="1"/>
  <c r="H26" i="1"/>
  <c r="R25" i="1"/>
  <c r="N25" i="1"/>
  <c r="H25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R24" i="1"/>
  <c r="N24" i="1"/>
  <c r="H24" i="1"/>
  <c r="S19" i="1"/>
  <c r="O19" i="1"/>
  <c r="M19" i="1"/>
  <c r="L19" i="1"/>
  <c r="K19" i="1"/>
  <c r="J19" i="1"/>
  <c r="I19" i="1"/>
  <c r="F19" i="1"/>
  <c r="R17" i="1"/>
  <c r="N17" i="1"/>
  <c r="H17" i="1"/>
  <c r="R16" i="1"/>
  <c r="N16" i="1"/>
  <c r="H16" i="1"/>
  <c r="B16" i="1"/>
  <c r="B17" i="1" s="1"/>
  <c r="R15" i="1"/>
  <c r="N15" i="1"/>
  <c r="H15" i="1"/>
  <c r="R12" i="1"/>
  <c r="N12" i="1"/>
  <c r="H12" i="1"/>
  <c r="R11" i="1"/>
  <c r="N11" i="1"/>
  <c r="H11" i="1"/>
  <c r="R10" i="1"/>
  <c r="N10" i="1"/>
  <c r="H10" i="1"/>
  <c r="B10" i="1"/>
  <c r="R9" i="1"/>
  <c r="N9" i="1"/>
  <c r="H9" i="1"/>
  <c r="N570" i="1" l="1"/>
  <c r="N626" i="1"/>
  <c r="N278" i="1"/>
  <c r="N498" i="1"/>
  <c r="N508" i="1"/>
  <c r="N440" i="1"/>
  <c r="N19" i="1"/>
  <c r="H449" i="1"/>
  <c r="N596" i="1"/>
  <c r="N724" i="1"/>
  <c r="R117" i="1"/>
  <c r="R128" i="1"/>
  <c r="R539" i="1"/>
  <c r="H58" i="1"/>
  <c r="N75" i="1"/>
  <c r="H181" i="1"/>
  <c r="R290" i="1"/>
  <c r="R296" i="1"/>
  <c r="H484" i="1"/>
  <c r="R495" i="1"/>
  <c r="R538" i="1"/>
  <c r="N58" i="1"/>
  <c r="N112" i="1"/>
  <c r="H366" i="1"/>
  <c r="R379" i="1"/>
  <c r="R466" i="1"/>
  <c r="R493" i="1"/>
  <c r="H724" i="1"/>
  <c r="R718" i="1"/>
  <c r="R558" i="1"/>
  <c r="H19" i="1"/>
  <c r="H75" i="1"/>
  <c r="N138" i="1"/>
  <c r="R132" i="1"/>
  <c r="N174" i="1"/>
  <c r="B381" i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H348" i="1"/>
  <c r="N366" i="1"/>
  <c r="N449" i="1"/>
  <c r="N459" i="1"/>
  <c r="N484" i="1"/>
  <c r="N533" i="1"/>
  <c r="N644" i="1"/>
  <c r="H411" i="1"/>
  <c r="R504" i="1"/>
  <c r="H570" i="1"/>
  <c r="R564" i="1"/>
  <c r="R787" i="1"/>
  <c r="R353" i="1"/>
  <c r="N411" i="1"/>
  <c r="H440" i="1"/>
  <c r="H498" i="1"/>
  <c r="N553" i="1"/>
  <c r="N584" i="1"/>
  <c r="R632" i="1"/>
  <c r="R657" i="1"/>
  <c r="R747" i="1"/>
  <c r="F596" i="1"/>
  <c r="H614" i="1"/>
  <c r="H594" i="1"/>
  <c r="H596" i="1" s="1"/>
  <c r="H697" i="1"/>
  <c r="N711" i="1"/>
  <c r="B704" i="1"/>
  <c r="B711" i="1" s="1"/>
  <c r="R730" i="1"/>
  <c r="N697" i="1"/>
  <c r="N770" i="1"/>
  <c r="B770" i="1"/>
  <c r="B11" i="1"/>
  <c r="B12" i="1" s="1"/>
  <c r="B58" i="1"/>
  <c r="H112" i="1"/>
  <c r="B65" i="1"/>
  <c r="B66" i="1" s="1"/>
  <c r="B174" i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H138" i="1"/>
  <c r="R125" i="1"/>
  <c r="B138" i="1"/>
  <c r="R157" i="1"/>
  <c r="H174" i="1"/>
  <c r="R179" i="1"/>
  <c r="H259" i="1"/>
  <c r="B188" i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R203" i="1"/>
  <c r="H278" i="1"/>
  <c r="B267" i="1"/>
  <c r="B268" i="1" s="1"/>
  <c r="B269" i="1" s="1"/>
  <c r="B270" i="1" s="1"/>
  <c r="N259" i="1"/>
  <c r="N290" i="1"/>
  <c r="N338" i="1" s="1"/>
  <c r="H338" i="1"/>
  <c r="B285" i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66" i="1"/>
  <c r="R393" i="1"/>
  <c r="B418" i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R421" i="1"/>
  <c r="H374" i="1"/>
  <c r="B447" i="1"/>
  <c r="B449" i="1" s="1"/>
  <c r="R446" i="1"/>
  <c r="B459" i="1"/>
  <c r="B466" i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R468" i="1"/>
  <c r="R473" i="1"/>
  <c r="R476" i="1"/>
  <c r="B498" i="1"/>
  <c r="H533" i="1"/>
  <c r="H508" i="1"/>
  <c r="R519" i="1"/>
  <c r="H459" i="1"/>
  <c r="B533" i="1"/>
  <c r="B553" i="1"/>
  <c r="H584" i="1"/>
  <c r="H626" i="1"/>
  <c r="B560" i="1"/>
  <c r="B561" i="1" s="1"/>
  <c r="B562" i="1" s="1"/>
  <c r="B563" i="1" s="1"/>
  <c r="B564" i="1" s="1"/>
  <c r="N614" i="1"/>
  <c r="R665" i="1"/>
  <c r="R545" i="1"/>
  <c r="H553" i="1"/>
  <c r="R620" i="1"/>
  <c r="H644" i="1"/>
  <c r="N679" i="1"/>
  <c r="R655" i="1"/>
  <c r="B687" i="1"/>
  <c r="B688" i="1" s="1"/>
  <c r="B689" i="1" s="1"/>
  <c r="B690" i="1" s="1"/>
  <c r="B584" i="1"/>
  <c r="B596" i="1"/>
  <c r="B626" i="1"/>
  <c r="R633" i="1"/>
  <c r="B644" i="1"/>
  <c r="R690" i="1"/>
  <c r="R716" i="1"/>
  <c r="B614" i="1"/>
  <c r="R653" i="1"/>
  <c r="R661" i="1"/>
  <c r="R663" i="1"/>
  <c r="B679" i="1"/>
  <c r="B732" i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H679" i="1"/>
  <c r="H711" i="1"/>
  <c r="N753" i="1"/>
  <c r="R738" i="1"/>
  <c r="H800" i="1"/>
  <c r="N800" i="1"/>
  <c r="H753" i="1"/>
  <c r="H770" i="1"/>
  <c r="R761" i="1"/>
  <c r="R782" i="1"/>
  <c r="B800" i="1"/>
  <c r="B753" i="1" l="1"/>
  <c r="B697" i="1"/>
  <c r="B411" i="1"/>
  <c r="B570" i="1"/>
  <c r="B259" i="1"/>
  <c r="B338" i="1"/>
  <c r="B112" i="1"/>
  <c r="B19" i="1"/>
  <c r="B484" i="1"/>
  <c r="B440" i="1"/>
  <c r="B278" i="1"/>
  <c r="B75" i="1"/>
</calcChain>
</file>

<file path=xl/sharedStrings.xml><?xml version="1.0" encoding="utf-8"?>
<sst xmlns="http://schemas.openxmlformats.org/spreadsheetml/2006/main" count="1178" uniqueCount="1137">
  <si>
    <t>DATA FOR THE YEAR 2019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</si>
  <si>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</si>
  <si>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</si>
  <si>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</si>
  <si>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</si>
  <si>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</si>
  <si>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</si>
  <si>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</si>
  <si>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</si>
  <si>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</si>
  <si>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</si>
  <si>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</si>
  <si>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</si>
  <si>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</si>
  <si>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</si>
  <si>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</si>
  <si>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</si>
  <si>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</si>
  <si>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</si>
  <si>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</si>
  <si>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</si>
  <si>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</si>
  <si>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</si>
  <si>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</si>
  <si>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</si>
  <si>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</si>
  <si>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</si>
  <si>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</si>
  <si>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</si>
  <si>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</si>
  <si>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</si>
  <si>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</si>
  <si>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</si>
  <si>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</si>
  <si>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</si>
  <si>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GASF</t>
  </si>
  <si>
    <t>Golden Arrow Selected Stocks Fund Limited</t>
  </si>
  <si>
    <t>HGFA</t>
  </si>
  <si>
    <t>HBL Growth Fund (PICIC Growth Fund)</t>
  </si>
  <si>
    <t>HIFA</t>
  </si>
  <si>
    <t>HBL Investment Fund (PICIC Investment Fund)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</si>
  <si>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</si>
  <si>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</si>
  <si>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</si>
  <si>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</si>
  <si>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</si>
  <si>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</si>
  <si>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</t>
  </si>
  <si>
    <t>PUDF</t>
  </si>
  <si>
    <t>Prudential Stock Funds Limited</t>
  </si>
  <si>
    <t>MODARABAS</t>
  </si>
  <si>
    <t>ARM</t>
  </si>
  <si>
    <t>Allied Rental Modaraba</t>
  </si>
  <si>
    <t>AWWAL</t>
  </si>
  <si>
    <t>Awwal Modaraba</t>
  </si>
  <si>
    <t>BFMOD</t>
  </si>
  <si>
    <t>B. F. Modaraba</t>
  </si>
  <si>
    <t>BRR</t>
  </si>
  <si>
    <t>BRR Guardian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</si>
  <si>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</si>
  <si>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</si>
  <si>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</si>
  <si>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</si>
  <si>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</si>
  <si>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</si>
  <si>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</si>
  <si>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</si>
  <si>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</si>
  <si>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</si>
  <si>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</si>
  <si>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</si>
  <si>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</si>
  <si>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</si>
  <si>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</si>
  <si>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</si>
  <si>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FPJM</t>
  </si>
  <si>
    <t>First Punjab Modaraba</t>
  </si>
  <si>
    <t>FPRM</t>
  </si>
  <si>
    <t>First Paramount Modaraba</t>
  </si>
  <si>
    <t>FTMM</t>
  </si>
  <si>
    <t>First Treet Manufacturing Modaraba</t>
  </si>
  <si>
    <t>FTSM</t>
  </si>
  <si>
    <t>First Tri - Star Modaraba</t>
  </si>
  <si>
    <t>FUDLM</t>
  </si>
  <si>
    <t>First UDL Modaraba</t>
  </si>
  <si>
    <t>KASBM</t>
  </si>
  <si>
    <t xml:space="preserve">KASB Modaraba </t>
  </si>
  <si>
    <t>MODAM</t>
  </si>
  <si>
    <t>Modaraba Al - Mali</t>
  </si>
  <si>
    <t>PAKMI</t>
  </si>
  <si>
    <t>First Pak Modaraba</t>
  </si>
  <si>
    <t>PMI</t>
  </si>
  <si>
    <t>First Prudential Modaraba</t>
  </si>
  <si>
    <t>HMM</t>
  </si>
  <si>
    <t>Habib Metro Modaraba</t>
  </si>
  <si>
    <t>PIM</t>
  </si>
  <si>
    <t>Popular Islamic Modaraba</t>
  </si>
  <si>
    <t>ORM</t>
  </si>
  <si>
    <t>Orient Rental Modaraba</t>
  </si>
  <si>
    <t>ORIXM</t>
  </si>
  <si>
    <t>Orix Modaraba (Standard Chartered Modaraba)</t>
  </si>
  <si>
    <t>SINDM</t>
  </si>
  <si>
    <t>Sindh Modaraba</t>
  </si>
  <si>
    <t>TRSM</t>
  </si>
  <si>
    <t>Trust Modaraba</t>
  </si>
  <si>
    <t>FIM</t>
  </si>
  <si>
    <t>First Investec Modaraba</t>
  </si>
  <si>
    <t>FNBM</t>
  </si>
  <si>
    <t>First National Bank Modaraba</t>
  </si>
  <si>
    <t>UCAPM</t>
  </si>
  <si>
    <t>Unicap Modaraba</t>
  </si>
  <si>
    <t>LEASING COMPANIES</t>
  </si>
  <si>
    <t>GRYL</t>
  </si>
  <si>
    <t>Grays Leasing Limited</t>
  </si>
  <si>
    <t>OLPL</t>
  </si>
  <si>
    <t>Orix Leasing Pakistan Limited</t>
  </si>
  <si>
    <t>PGLC</t>
  </si>
  <si>
    <t>Pak-Gulf Leasing Company Limited</t>
  </si>
  <si>
    <t>SLL</t>
  </si>
  <si>
    <t>SME Leasing Limited</t>
  </si>
  <si>
    <t>CPAL</t>
  </si>
  <si>
    <t>Capital Assets Leasing Corporation Limited</t>
  </si>
  <si>
    <t>ENGL</t>
  </si>
  <si>
    <t>English Leasing Limited</t>
  </si>
  <si>
    <t>PICL</t>
  </si>
  <si>
    <t>Pakistan Industrial &amp; Commercial Leasing Limited</t>
  </si>
  <si>
    <t>SLCL</t>
  </si>
  <si>
    <t>Security Leasing Corporation Limited</t>
  </si>
  <si>
    <t>SPLC</t>
  </si>
  <si>
    <t>Saudi Pak Leasing Company Limited</t>
  </si>
  <si>
    <t>INVESTMENT BANKS / INVESTMENT COMPANIES / SECURITIES COMPANIES</t>
  </si>
  <si>
    <t>786 Investments Limited</t>
  </si>
  <si>
    <t>AHL</t>
  </si>
  <si>
    <t>Arif Habib Limited</t>
  </si>
  <si>
    <t>AMBL</t>
  </si>
  <si>
    <t>Apna Microfinance Bank Limited</t>
  </si>
  <si>
    <t>BIPLS</t>
  </si>
  <si>
    <t>BIPL Securities Limited</t>
  </si>
  <si>
    <t>CYAN</t>
  </si>
  <si>
    <t>Cyan Limited</t>
  </si>
  <si>
    <t>DEL</t>
  </si>
  <si>
    <t>Dawood Equities Limited</t>
  </si>
  <si>
    <t>DAWH</t>
  </si>
  <si>
    <t>Dawood Hercules Corporation Limited</t>
  </si>
  <si>
    <t>EFGH</t>
  </si>
  <si>
    <t>EFG Hermes Pakistan Limited</t>
  </si>
  <si>
    <t>ESBL</t>
  </si>
  <si>
    <t>Escorts Investmen Bank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</si>
  <si>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</si>
  <si>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</si>
  <si>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</si>
  <si>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</si>
  <si>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</si>
  <si>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</si>
  <si>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</si>
  <si>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</si>
  <si>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ICIBL</t>
  </si>
  <si>
    <t>Invest Capital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</si>
  <si>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</si>
  <si>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</si>
  <si>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</si>
  <si>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</si>
  <si>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</si>
  <si>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</si>
  <si>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MCBAH</t>
  </si>
  <si>
    <t>MCB-Arif Habib Savings &amp; Investments Limited</t>
  </si>
  <si>
    <t>NEXT</t>
  </si>
  <si>
    <t>Next Capital Limited</t>
  </si>
  <si>
    <t>PASL</t>
  </si>
  <si>
    <t>Pervez Ahmed Consultancy Services Limited</t>
  </si>
  <si>
    <t>PSX</t>
  </si>
  <si>
    <t>Pakistan Stock Exchange Limited</t>
  </si>
  <si>
    <t>SIBL</t>
  </si>
  <si>
    <t>Security Investment Bank Limited</t>
  </si>
  <si>
    <t>TSBL</t>
  </si>
  <si>
    <t>Trust Securities &amp; Brokerage Limited</t>
  </si>
  <si>
    <t>AMSL</t>
  </si>
  <si>
    <t>Al-Mal Securities &amp; Services Limited</t>
  </si>
  <si>
    <t>FCEL</t>
  </si>
  <si>
    <t>First Capital Equities Limited</t>
  </si>
  <si>
    <t>JOVC</t>
  </si>
  <si>
    <t>Javed Omer Vohra &amp; Company Limited</t>
  </si>
  <si>
    <t>PDGH</t>
  </si>
  <si>
    <t>Prudential Discount &amp; Guarantee House Limited</t>
  </si>
  <si>
    <t>PRIB</t>
  </si>
  <si>
    <t>Prudential Investment Bank</t>
  </si>
  <si>
    <t>TRIBL</t>
  </si>
  <si>
    <t>Trust Investment Bank Limited</t>
  </si>
  <si>
    <t>COMMERCIAL BANKS</t>
  </si>
  <si>
    <t>ABL</t>
  </si>
  <si>
    <t>Allied Bank Limited</t>
  </si>
  <si>
    <t>AKBL</t>
  </si>
  <si>
    <t>Askari Bank Limited</t>
  </si>
  <si>
    <t>BAFL</t>
  </si>
  <si>
    <t>Bank Alfalah Limited</t>
  </si>
  <si>
    <t>BAHL</t>
  </si>
  <si>
    <t>Bank AL Habib  Limited</t>
  </si>
  <si>
    <t>BIPL</t>
  </si>
  <si>
    <t>BankIslami Pakistan Limited</t>
  </si>
  <si>
    <t>BOK</t>
  </si>
  <si>
    <t>The Bank of Khyber</t>
  </si>
  <si>
    <t>BOP</t>
  </si>
  <si>
    <t>The Bank of Punjab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</si>
  <si>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</si>
  <si>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</si>
  <si>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</si>
  <si>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</si>
  <si>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</si>
  <si>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</si>
  <si>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</si>
  <si>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</si>
  <si>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</si>
  <si>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</si>
  <si>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</si>
  <si>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</si>
  <si>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</si>
  <si>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</si>
  <si>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SBL</t>
  </si>
  <si>
    <t>Samba Bank Limited</t>
  </si>
  <si>
    <t>SCBPL</t>
  </si>
  <si>
    <t>Standard Chartered Bank (Pakistan) Ltd.</t>
  </si>
  <si>
    <t>SILK</t>
  </si>
  <si>
    <t>Silk Bank Limited</t>
  </si>
  <si>
    <t>SMBL</t>
  </si>
  <si>
    <t>Summit Bank Limited</t>
  </si>
  <si>
    <t>SNBL</t>
  </si>
  <si>
    <t>Soneri Bank Limited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</si>
  <si>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</si>
  <si>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</si>
  <si>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</si>
  <si>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</si>
  <si>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</si>
  <si>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</si>
  <si>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</si>
  <si>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</si>
  <si>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</si>
  <si>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</si>
  <si>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</si>
  <si>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</si>
  <si>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</si>
  <si>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</si>
  <si>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The Crescent Star Insurance Company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</si>
  <si>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</si>
  <si>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</si>
  <si>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</si>
  <si>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</si>
  <si>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</si>
  <si>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</si>
  <si>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ALAC</t>
  </si>
  <si>
    <t>Askari Life Assurance Company Limited</t>
  </si>
  <si>
    <t>HICL</t>
  </si>
  <si>
    <t>Habib Insurance Company Limited</t>
  </si>
  <si>
    <t>IGIHL</t>
  </si>
  <si>
    <t>IGI Holdings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</si>
  <si>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</si>
  <si>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</si>
  <si>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</si>
  <si>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</si>
  <si>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</si>
  <si>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</si>
  <si>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</si>
  <si>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</si>
  <si>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PINL</t>
  </si>
  <si>
    <t>Premier Insurance Limited</t>
  </si>
  <si>
    <t>RICL</t>
  </si>
  <si>
    <t>Reliance Insurance Company Limited</t>
  </si>
  <si>
    <t>SHNI</t>
  </si>
  <si>
    <t>Shaheen Insurance Company Limited</t>
  </si>
  <si>
    <t>TPLI</t>
  </si>
  <si>
    <t>TPL Insurance Limited</t>
  </si>
  <si>
    <t>UNIC</t>
  </si>
  <si>
    <t>The United Insurance Company of Pakistan Limited</t>
  </si>
  <si>
    <t>UVIC</t>
  </si>
  <si>
    <t>The Universal Insurance Company Limited</t>
  </si>
  <si>
    <t>BIIC</t>
  </si>
  <si>
    <t>Business &amp; Industrial Insurance Company Limited</t>
  </si>
  <si>
    <t>PKGI</t>
  </si>
  <si>
    <t>The Pakistan General Insurance Company Limited</t>
  </si>
  <si>
    <t>PIL</t>
  </si>
  <si>
    <t>PICIC Insurance Limited</t>
  </si>
  <si>
    <t>PRIC</t>
  </si>
  <si>
    <t>Progressive Insurance Company Limited</t>
  </si>
  <si>
    <t>SICL</t>
  </si>
  <si>
    <t>Standard Insurance Company Limited</t>
  </si>
  <si>
    <t>SSIC</t>
  </si>
  <si>
    <t>Silver Star Insurance Company Limited</t>
  </si>
  <si>
    <t>REAL ESTATE INVESTMENT TRUST</t>
  </si>
  <si>
    <t>DCR</t>
  </si>
  <si>
    <t>Dolmen City REIT</t>
  </si>
  <si>
    <t>TEXTILE SPINNING</t>
  </si>
  <si>
    <t>ASTM</t>
  </si>
  <si>
    <t>Asim Textile Mills Limited</t>
  </si>
  <si>
    <t>AWTX</t>
  </si>
  <si>
    <t>Allawasaya Textile &amp; Finishing Mills Limited</t>
  </si>
  <si>
    <t>BCML</t>
  </si>
  <si>
    <t>Babri Cotton Mills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</si>
  <si>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</si>
  <si>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</si>
  <si>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</si>
  <si>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</si>
  <si>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</si>
  <si>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</si>
  <si>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CWSM</t>
  </si>
  <si>
    <t>Chakwal Spinning Mills Limited</t>
  </si>
  <si>
    <t>DFSM</t>
  </si>
  <si>
    <t>Dewan Farooque Spinning Mills Limited</t>
  </si>
  <si>
    <t>DINT</t>
  </si>
  <si>
    <t>Din Textile Mills Limited</t>
  </si>
  <si>
    <t>DSIL</t>
  </si>
  <si>
    <t>D. S. Industries Limited</t>
  </si>
  <si>
    <t>ELCM</t>
  </si>
  <si>
    <t>Elahi Cotton Mills Limited</t>
  </si>
  <si>
    <t>ELSM</t>
  </si>
  <si>
    <t>Ellcot Spinning Mills Limited</t>
  </si>
  <si>
    <t>FZCM</t>
  </si>
  <si>
    <t>Fazal Cloth Mills Limited</t>
  </si>
  <si>
    <t>GADT</t>
  </si>
  <si>
    <t>Gadoon Textile Mills Limited</t>
  </si>
  <si>
    <t>HIRAT</t>
  </si>
  <si>
    <t>Hira Textile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</si>
  <si>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</si>
  <si>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</si>
  <si>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</si>
  <si>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</si>
  <si>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</si>
  <si>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</si>
  <si>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ILTM</t>
  </si>
  <si>
    <t>Island Textile Mills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</si>
  <si>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</si>
  <si>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</si>
  <si>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</si>
  <si>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</si>
  <si>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</si>
  <si>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</si>
  <si>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KHSM</t>
  </si>
  <si>
    <t>Khurshid Spinning Mills Limited</t>
  </si>
  <si>
    <t>KOHTM</t>
  </si>
  <si>
    <t>Kohat Textile Mills Limited</t>
  </si>
  <si>
    <t>KOSM</t>
  </si>
  <si>
    <t>Kohinoor Spinning Mills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</si>
  <si>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</si>
  <si>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</si>
  <si>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</si>
  <si>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</si>
  <si>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</si>
  <si>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</si>
  <si>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PRET</t>
  </si>
  <si>
    <t>Premium Textile Mills Limited</t>
  </si>
  <si>
    <t>RCML</t>
  </si>
  <si>
    <t>Reliance Cotton Spinning Mills Limited</t>
  </si>
  <si>
    <t>RUBY</t>
  </si>
  <si>
    <t>Ruby Textile Mills Limited</t>
  </si>
  <si>
    <t>SAIF</t>
  </si>
  <si>
    <t>Saif Textile Mills Limited</t>
  </si>
  <si>
    <t>SALT</t>
  </si>
  <si>
    <t>Salfi Textile Mills Limited</t>
  </si>
  <si>
    <t>SERT</t>
  </si>
  <si>
    <t>Service Industries Textiles Limited</t>
  </si>
  <si>
    <t>SHCM</t>
  </si>
  <si>
    <t>Shadman Cotton Mills Limited</t>
  </si>
  <si>
    <t>SHDT</t>
  </si>
  <si>
    <t>Shadab Textile Mills Limited</t>
  </si>
  <si>
    <t>SNAI</t>
  </si>
  <si>
    <t>Sana Industries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</si>
  <si>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</si>
  <si>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</si>
  <si>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</si>
  <si>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</si>
  <si>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</si>
  <si>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</si>
  <si>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AAL</t>
  </si>
  <si>
    <t>Agro Allianz Limited (Karim Cotton)</t>
  </si>
  <si>
    <t>AATM</t>
  </si>
  <si>
    <t>Ali Asghar Textile Mills Limited</t>
  </si>
  <si>
    <t>AMTEX</t>
  </si>
  <si>
    <t>Amtex Limited</t>
  </si>
  <si>
    <t>ANNT</t>
  </si>
  <si>
    <t>Annoor Textile Mills Limited</t>
  </si>
  <si>
    <t>APOT</t>
  </si>
  <si>
    <t>Apollo Textile Mills Limited</t>
  </si>
  <si>
    <t>AYTM</t>
  </si>
  <si>
    <t>Ayesha Textile Mills Limited</t>
  </si>
  <si>
    <t>AZMT</t>
  </si>
  <si>
    <t>Azmat Textile Mills Limited</t>
  </si>
  <si>
    <t>BILF</t>
  </si>
  <si>
    <t>Bilal Fibres Limited</t>
  </si>
  <si>
    <t>DATM</t>
  </si>
  <si>
    <t>Data Textiles Limited</t>
  </si>
  <si>
    <t>DKTM</t>
  </si>
  <si>
    <t>Dewan Khalid Textile Mills Limited</t>
  </si>
  <si>
    <t>DMTM</t>
  </si>
  <si>
    <t>Dewan Mushtaq Textile Mills Limited</t>
  </si>
  <si>
    <t>DMTX</t>
  </si>
  <si>
    <t>D. M. Industries Limited</t>
  </si>
  <si>
    <t>DSML</t>
  </si>
  <si>
    <t>Dar Es Salaam Textile Mills Limited</t>
  </si>
  <si>
    <t>DWTM</t>
  </si>
  <si>
    <t>Dewan Textile Mills Limited</t>
  </si>
  <si>
    <t>FAEL</t>
  </si>
  <si>
    <t>Fatima Enterprises Limited</t>
  </si>
  <si>
    <t>GLOT</t>
  </si>
  <si>
    <t>Globe Textile Mills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</si>
  <si>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</si>
  <si>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</si>
  <si>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</si>
  <si>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</si>
  <si>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</si>
  <si>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</si>
  <si>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</si>
  <si>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</si>
  <si>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HMIM</t>
  </si>
  <si>
    <t>Haji Mohammad Ismail Mills Limited</t>
  </si>
  <si>
    <t>KSTM</t>
  </si>
  <si>
    <t>Khalid Siraj Textile Mills Limited</t>
  </si>
  <si>
    <t>LMSM</t>
  </si>
  <si>
    <t>Landmark Spinning Industries Limited</t>
  </si>
  <si>
    <t>NCML</t>
  </si>
  <si>
    <t>Nazir Cotton Mills Limited</t>
  </si>
  <si>
    <t>OML</t>
  </si>
  <si>
    <t>Olympia Mills Limited</t>
  </si>
  <si>
    <t>RAVT</t>
  </si>
  <si>
    <t>Ravi Textile Mills Limited</t>
  </si>
  <si>
    <t>SANE</t>
  </si>
  <si>
    <t>Salman Noman Enterprises Limited</t>
  </si>
  <si>
    <t>SJTM</t>
  </si>
  <si>
    <t>Sajjad Textile Mills Limited</t>
  </si>
  <si>
    <t>SLYT</t>
  </si>
  <si>
    <t>Sally Textile Mills Limited</t>
  </si>
  <si>
    <t>SSML</t>
  </si>
  <si>
    <t>Saritow Spinning Mills Limited</t>
  </si>
  <si>
    <t>TEXTILE WEAVING</t>
  </si>
  <si>
    <t>ASHT</t>
  </si>
  <si>
    <t>Ashfaq Textile Mills Limited</t>
  </si>
  <si>
    <t>PRWM</t>
  </si>
  <si>
    <t>Prosperity Weaving Mills Limited</t>
  </si>
  <si>
    <t>SERF</t>
  </si>
  <si>
    <t>Service Fabrics Limited</t>
  </si>
  <si>
    <t>SMTM</t>
  </si>
  <si>
    <t>Samin Textiles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</si>
  <si>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</si>
  <si>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</si>
  <si>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</si>
  <si>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</si>
  <si>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</si>
  <si>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</si>
  <si>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HKKT</t>
  </si>
  <si>
    <t>Hakkim Textile Mills Limited</t>
  </si>
  <si>
    <t>ICCT</t>
  </si>
  <si>
    <t>ICC Textiles Limited</t>
  </si>
  <si>
    <t>MOHE</t>
  </si>
  <si>
    <t>Mohib Exports Limited</t>
  </si>
  <si>
    <t>SDOT</t>
  </si>
  <si>
    <t>Sadoon Textile Mills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</si>
  <si>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</si>
  <si>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</si>
  <si>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</si>
  <si>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</si>
  <si>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</si>
  <si>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</si>
  <si>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</si>
  <si>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ARUJ</t>
  </si>
  <si>
    <t>Aruj Industries Limited</t>
  </si>
  <si>
    <t>BHAT</t>
  </si>
  <si>
    <t>Bhanero Textile Mills Limited</t>
  </si>
  <si>
    <t>BTL</t>
  </si>
  <si>
    <t>Blessed Textile Mills Limited</t>
  </si>
  <si>
    <t>CRTM</t>
  </si>
  <si>
    <t>The Crescent Textile Mills Limited</t>
  </si>
  <si>
    <t>DLL</t>
  </si>
  <si>
    <t>Dawood Lawrencepur Limited</t>
  </si>
  <si>
    <t>FASM</t>
  </si>
  <si>
    <t>Faisal Spinning Mills Limited</t>
  </si>
  <si>
    <t>FML</t>
  </si>
  <si>
    <t xml:space="preserve">Feroze1888 Mills Limited </t>
  </si>
  <si>
    <t>GATM</t>
  </si>
  <si>
    <t>Gul Ahmed Textile Mills Limited</t>
  </si>
  <si>
    <t>GFIL</t>
  </si>
  <si>
    <t>Ghazi Fabrics International Limited</t>
  </si>
  <si>
    <t>HAFL</t>
  </si>
  <si>
    <t>Hafiz Limited</t>
  </si>
  <si>
    <t>ILP</t>
  </si>
  <si>
    <t>Interloop Limited</t>
  </si>
  <si>
    <t>INKL</t>
  </si>
  <si>
    <t>International Knitwear Limited</t>
  </si>
  <si>
    <t>ANTM</t>
  </si>
  <si>
    <t>AN Textile Mills Limited     (Ishaq Textile Mills Limited)</t>
  </si>
  <si>
    <t>KHYT</t>
  </si>
  <si>
    <t>Khyber Textile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</si>
  <si>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</si>
  <si>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</si>
  <si>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</si>
  <si>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</si>
  <si>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</si>
  <si>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</si>
  <si>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</si>
  <si>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</si>
  <si>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MSOT</t>
  </si>
  <si>
    <t>Masood Textile Mills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</si>
  <si>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</si>
  <si>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</si>
  <si>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</si>
  <si>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</si>
  <si>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</si>
  <si>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</si>
  <si>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</si>
  <si>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</si>
  <si>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</si>
  <si>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</si>
  <si>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</si>
  <si>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</si>
  <si>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SFL</t>
  </si>
  <si>
    <t>Sapphire Fibres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</si>
  <si>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</si>
  <si>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</si>
  <si>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</si>
  <si>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</si>
  <si>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</si>
  <si>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</si>
  <si>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</si>
  <si>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</si>
  <si>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CHBL</t>
  </si>
  <si>
    <t>Chenab Limited</t>
  </si>
  <si>
    <t>COST</t>
  </si>
  <si>
    <t>(Colony) Sarhad Textile Mills Limited</t>
  </si>
  <si>
    <t>FSWL</t>
  </si>
  <si>
    <t>Fateh Sports Wear Limited</t>
  </si>
  <si>
    <t>FTHM</t>
  </si>
  <si>
    <t>Fateh Textile Mills Limited</t>
  </si>
  <si>
    <t>HAEL</t>
  </si>
  <si>
    <t>Hala Enterprises Limited</t>
  </si>
  <si>
    <t>HATM</t>
  </si>
  <si>
    <t>Hamid Textile Mills Limited</t>
  </si>
  <si>
    <t>HUSI</t>
  </si>
  <si>
    <t>Husein Industries Limited</t>
  </si>
  <si>
    <t>JUBS</t>
  </si>
  <si>
    <t>Jubilee Spinning &amp; Weaving Mills Limited</t>
  </si>
  <si>
    <t>KAKL</t>
  </si>
  <si>
    <t>Kaiser Arts &amp; Krafts Limited</t>
  </si>
  <si>
    <t>MFTM</t>
  </si>
  <si>
    <t>Mohammed Farooq Textile Mills Limited</t>
  </si>
  <si>
    <t>MTIL</t>
  </si>
  <si>
    <t>Mian Textile Industries Limited</t>
  </si>
  <si>
    <t>MUBT</t>
  </si>
  <si>
    <t>Mubarak Textile Mills Limited</t>
  </si>
  <si>
    <t>NINA</t>
  </si>
  <si>
    <t>Nina Industries Limited</t>
  </si>
  <si>
    <t>PASM</t>
  </si>
  <si>
    <t>Paramount Spinning Mills Limited</t>
  </si>
  <si>
    <t>SCHT</t>
  </si>
  <si>
    <t>Schon Textile Mills Limited</t>
  </si>
  <si>
    <t>SFAT</t>
  </si>
  <si>
    <t>Safa Textiles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</si>
  <si>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</si>
  <si>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</si>
  <si>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</si>
  <si>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</si>
  <si>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</si>
  <si>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</si>
  <si>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</si>
  <si>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</si>
  <si>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</si>
  <si>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BNL</t>
  </si>
  <si>
    <t>Bunny's Limited (Moonlite Pak)</t>
  </si>
  <si>
    <t>SYNTHETIC &amp; RAYON</t>
  </si>
  <si>
    <t>GATI</t>
  </si>
  <si>
    <t>Gatron (Industries) Limited</t>
  </si>
  <si>
    <t>IBFL</t>
  </si>
  <si>
    <t>Ibrahim Fibres Limited</t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</si>
  <si>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</si>
  <si>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</si>
  <si>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</si>
  <si>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</si>
  <si>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</si>
  <si>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</si>
  <si>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TRPOL</t>
  </si>
  <si>
    <t>Tri-Star Polyester Limited</t>
  </si>
  <si>
    <t>AASM</t>
  </si>
  <si>
    <t>Al- Abid Silk Mills Limited</t>
  </si>
  <si>
    <t>DSFL</t>
  </si>
  <si>
    <t>Dewan Salman Fibre Limited</t>
  </si>
  <si>
    <t>NAFL</t>
  </si>
  <si>
    <t>National Fibres Limited</t>
  </si>
  <si>
    <t>SGFL</t>
  </si>
  <si>
    <t>SG Allied Business Limited  (S. G. Fibres)</t>
  </si>
  <si>
    <t>JUTE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</si>
  <si>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</si>
  <si>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</si>
  <si>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</si>
  <si>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</si>
  <si>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</si>
  <si>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</si>
  <si>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</si>
  <si>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</si>
  <si>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</si>
  <si>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ALNRS</t>
  </si>
  <si>
    <t>Al-Noor Sugar Mills Limited</t>
  </si>
  <si>
    <t>AGSML</t>
  </si>
  <si>
    <t>Abdullah Shah Ghazi Sugar Mills Limited</t>
  </si>
  <si>
    <t>BAFS</t>
  </si>
  <si>
    <t>Baba Farid Sugar Mills Limited</t>
  </si>
  <si>
    <t>CHAS</t>
  </si>
  <si>
    <t>Chashma Sugar Mills Limited</t>
  </si>
  <si>
    <t>FRSM</t>
  </si>
  <si>
    <t>Faran Sugar Mills Limited</t>
  </si>
  <si>
    <t>HABSM</t>
  </si>
  <si>
    <t>Habib Sugar Mills Limited</t>
  </si>
  <si>
    <t>HAL</t>
  </si>
  <si>
    <t>Habib-ADM Limited</t>
  </si>
  <si>
    <t>HUSS</t>
  </si>
  <si>
    <t>Husein Sugar Mills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</si>
  <si>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</si>
  <si>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</si>
  <si>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</si>
  <si>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</si>
  <si>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</si>
  <si>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</si>
  <si>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</si>
  <si>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</si>
  <si>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</si>
  <si>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</si>
  <si>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NONS</t>
  </si>
  <si>
    <t>Noon Sugar Mills Limited</t>
  </si>
  <si>
    <t>PMRS</t>
  </si>
  <si>
    <t>The Premier Sugar Mills &amp; Distillery Company Limited</t>
  </si>
  <si>
    <t>SANSM</t>
  </si>
  <si>
    <t>Sanghar Sugar Mills Limited</t>
  </si>
  <si>
    <t>SASML</t>
  </si>
  <si>
    <t>Sindh Abadgar's Sugar Mills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</si>
  <si>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</si>
  <si>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</si>
  <si>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</si>
  <si>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</si>
  <si>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</si>
  <si>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</si>
  <si>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SML</t>
  </si>
  <si>
    <t>Shakarganj Limited</t>
  </si>
  <si>
    <t>TICL</t>
  </si>
  <si>
    <t>The Thal Industries Corporation Limited</t>
  </si>
  <si>
    <t>ANSM</t>
  </si>
  <si>
    <t>Ansari Sugar Mills Limited</t>
  </si>
  <si>
    <t>DWSM</t>
  </si>
  <si>
    <t>Dewan Sugar Mills Limited</t>
  </si>
  <si>
    <t>HWQS</t>
  </si>
  <si>
    <t>Haseeb Waqas Sugar Mills Limited</t>
  </si>
  <si>
    <t>IMSL</t>
  </si>
  <si>
    <t>Imperial Sugar Mills Limited</t>
  </si>
  <si>
    <t>TSML</t>
  </si>
  <si>
    <t>Tandlianwala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</si>
  <si>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</si>
  <si>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</si>
  <si>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</si>
  <si>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</si>
  <si>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</si>
  <si>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</si>
  <si>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</si>
  <si>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</si>
  <si>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</si>
  <si>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</si>
  <si>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</si>
  <si>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</si>
  <si>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</si>
  <si>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</si>
  <si>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</si>
  <si>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</si>
  <si>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</si>
  <si>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</si>
  <si>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</si>
  <si>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</si>
  <si>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</si>
  <si>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</si>
  <si>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</si>
  <si>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</si>
  <si>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</si>
  <si>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</si>
  <si>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</si>
  <si>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</si>
  <si>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</si>
  <si>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</si>
  <si>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</t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</si>
  <si>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</si>
  <si>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</si>
  <si>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</si>
  <si>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</si>
  <si>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</si>
  <si>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</si>
  <si>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DNCC</t>
  </si>
  <si>
    <t>Dandot Cement Company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</si>
  <si>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</si>
  <si>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</si>
  <si>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</si>
  <si>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</si>
  <si>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</si>
  <si>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</si>
  <si>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</si>
  <si>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</si>
  <si>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</si>
  <si>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</si>
  <si>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</si>
  <si>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</si>
  <si>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BYCO</t>
  </si>
  <si>
    <t>Byco Petroleum Pakistan Limited</t>
  </si>
  <si>
    <t>NRL</t>
  </si>
  <si>
    <t>National Refinery Limited</t>
  </si>
  <si>
    <t>PRL</t>
  </si>
  <si>
    <t>Pakistan Refinery Limited</t>
  </si>
  <si>
    <t>POWER GENERATION &amp; DISTRIBUTION</t>
  </si>
  <si>
    <t>AEL</t>
  </si>
  <si>
    <t>Arshad Energy Limited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</si>
  <si>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</si>
  <si>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</si>
  <si>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</si>
  <si>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</si>
  <si>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</si>
  <si>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</si>
  <si>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</si>
  <si>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</si>
  <si>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</si>
  <si>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</si>
  <si>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</si>
  <si>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</si>
  <si>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</si>
  <si>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</si>
  <si>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</si>
  <si>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</si>
  <si>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</si>
  <si>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</si>
  <si>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</si>
  <si>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</si>
  <si>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</si>
  <si>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</si>
  <si>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SPWL</t>
  </si>
  <si>
    <t>Saif Power Limited</t>
  </si>
  <si>
    <t>TSPL</t>
  </si>
  <si>
    <t>Tri - Star Power Limited</t>
  </si>
  <si>
    <t>JPGL</t>
  </si>
  <si>
    <t>Japan Power Generation Limited</t>
  </si>
  <si>
    <t>KOHP</t>
  </si>
  <si>
    <t>Kohinoor Power Company Limited</t>
  </si>
  <si>
    <t>SGPL</t>
  </si>
  <si>
    <t>S. G. Power Limited</t>
  </si>
  <si>
    <t>OIL &amp; GAS MARKETING COMPANIES</t>
  </si>
  <si>
    <t>APL</t>
  </si>
  <si>
    <t>Attock Petroleum Limited</t>
  </si>
  <si>
    <t>BPL</t>
  </si>
  <si>
    <t>Burshane LPG (Pakistan) Limited</t>
  </si>
  <si>
    <t>HASCOL</t>
  </si>
  <si>
    <t>Hascol Petroleum Limited</t>
  </si>
  <si>
    <t>HTL</t>
  </si>
  <si>
    <t>Hi-Tech Lubricants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</si>
  <si>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</si>
  <si>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</si>
  <si>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</si>
  <si>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</si>
  <si>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</si>
  <si>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</si>
  <si>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</si>
  <si>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</si>
  <si>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</si>
  <si>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</si>
  <si>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</si>
  <si>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</si>
  <si>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</si>
  <si>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</si>
  <si>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</si>
  <si>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</si>
  <si>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</si>
  <si>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</si>
  <si>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</si>
  <si>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</si>
  <si>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ASL</t>
  </si>
  <si>
    <t>Aisha Steel Mills Limited</t>
  </si>
  <si>
    <t>ASTL</t>
  </si>
  <si>
    <t>Amreli Steels Limited</t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</si>
  <si>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</si>
  <si>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</si>
  <si>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</si>
  <si>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</si>
  <si>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</si>
  <si>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</si>
  <si>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INIL</t>
  </si>
  <si>
    <t>International Industries Limited</t>
  </si>
  <si>
    <t>ISL</t>
  </si>
  <si>
    <t>International Steels Limited</t>
  </si>
  <si>
    <t>ITTEFAQ</t>
  </si>
  <si>
    <t>Ittefaq Iron Industries Limitd</t>
  </si>
  <si>
    <t>KSBP</t>
  </si>
  <si>
    <t>KSB Pumps Company Limited</t>
  </si>
  <si>
    <t>MSCL</t>
  </si>
  <si>
    <t>Metropolitan Steel Corporation Limited</t>
  </si>
  <si>
    <t>MUGHAL</t>
  </si>
  <si>
    <t>Mughal Iron &amp; Steel Industries Limited</t>
  </si>
  <si>
    <t>DKL</t>
  </si>
  <si>
    <t>Drekkar Kingsway Limited</t>
  </si>
  <si>
    <t>DSL</t>
  </si>
  <si>
    <t>Dost Steels Limited</t>
  </si>
  <si>
    <t>HSPI</t>
  </si>
  <si>
    <t>Huffaz Seamless Pipe Industries Limited</t>
  </si>
  <si>
    <t>PECO</t>
  </si>
  <si>
    <t>Pakistan Engineering Company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</si>
  <si>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</si>
  <si>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</si>
  <si>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</si>
  <si>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</si>
  <si>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</si>
  <si>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</si>
  <si>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</si>
  <si>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GAIL</t>
  </si>
  <si>
    <t>Ghani Automobile Industries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</si>
  <si>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</si>
  <si>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</si>
  <si>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</si>
  <si>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</si>
  <si>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</si>
  <si>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</si>
  <si>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</si>
  <si>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</si>
  <si>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</si>
  <si>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</si>
  <si>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</si>
  <si>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</si>
  <si>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</si>
  <si>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</si>
  <si>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</si>
  <si>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</si>
  <si>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DFML</t>
  </si>
  <si>
    <t>Dewan Farooque Motors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</si>
  <si>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</si>
  <si>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</si>
  <si>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</si>
  <si>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</si>
  <si>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</si>
  <si>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</si>
  <si>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</si>
  <si>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</si>
  <si>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</si>
  <si>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</si>
  <si>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</si>
  <si>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LOADS</t>
  </si>
  <si>
    <t>Loads Limited</t>
  </si>
  <si>
    <t>THALL</t>
  </si>
  <si>
    <t>Thal Limited</t>
  </si>
  <si>
    <t>BELA</t>
  </si>
  <si>
    <t>Bela Automotives Limited</t>
  </si>
  <si>
    <t>DWAE</t>
  </si>
  <si>
    <t>Dewan Automotive Engineering Limited</t>
  </si>
  <si>
    <t>CABLE &amp; ELECTRICAL GOODS</t>
  </si>
  <si>
    <t>EMCO</t>
  </si>
  <si>
    <t>Emco Industries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</si>
  <si>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</si>
  <si>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</si>
  <si>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</si>
  <si>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</si>
  <si>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</si>
  <si>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</si>
  <si>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WAVES</t>
  </si>
  <si>
    <t>Waves Singer Pakistan Limited</t>
  </si>
  <si>
    <t>JOPP</t>
  </si>
  <si>
    <t>Johnson &amp; Phillips (Pakistan) Limited</t>
  </si>
  <si>
    <t>TRANSPORT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</si>
  <si>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</si>
  <si>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</si>
  <si>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</si>
  <si>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</si>
  <si>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</si>
  <si>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</si>
  <si>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PIAA</t>
  </si>
  <si>
    <t>Pakistan International Airline Corporation Limited</t>
  </si>
  <si>
    <t>TECHNOLOGY &amp; COMMUNICATION</t>
  </si>
  <si>
    <t>AVN</t>
  </si>
  <si>
    <t>Avanceon Limited</t>
  </si>
  <si>
    <t>HMICL</t>
  </si>
  <si>
    <t>Hallmark Company Limited</t>
  </si>
  <si>
    <t>HUMNL</t>
  </si>
  <si>
    <t>Hum Network Limited</t>
  </si>
  <si>
    <t>MDTL</t>
  </si>
  <si>
    <t>Media Times Limited</t>
  </si>
  <si>
    <t>NETSOL</t>
  </si>
  <si>
    <t>NetSol Technologies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</si>
  <si>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</si>
  <si>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</si>
  <si>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</si>
  <si>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</si>
  <si>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</si>
  <si>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</si>
  <si>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</si>
  <si>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</si>
  <si>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TPL</t>
  </si>
  <si>
    <t>TPL Corp. Limited</t>
  </si>
  <si>
    <t>TRG</t>
  </si>
  <si>
    <t>TRG Pakistan Limited</t>
  </si>
  <si>
    <t>WTL</t>
  </si>
  <si>
    <t>WorldCall Telecom Limited</t>
  </si>
  <si>
    <t>FERTILIZER</t>
  </si>
  <si>
    <t>AHCL</t>
  </si>
  <si>
    <t>Arif Habib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</si>
  <si>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</si>
  <si>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</si>
  <si>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</si>
  <si>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</si>
  <si>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</si>
  <si>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</si>
  <si>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</si>
  <si>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</si>
  <si>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</si>
  <si>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</si>
  <si>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</si>
  <si>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</si>
  <si>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</si>
  <si>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AGP</t>
  </si>
  <si>
    <t>AGP Limited</t>
  </si>
  <si>
    <t>FEROZ</t>
  </si>
  <si>
    <t>Ferozsons Laboratories Limited</t>
  </si>
  <si>
    <t>GLAXO</t>
  </si>
  <si>
    <t>GlaxoSmithKline Pakistan Limited</t>
  </si>
  <si>
    <t>GSKCH</t>
  </si>
  <si>
    <t>GlaxoSmithKline Consumer HealthCare Pakistan Limited</t>
  </si>
  <si>
    <t>HINOON</t>
  </si>
  <si>
    <t>Highnoon Laboratories Limited</t>
  </si>
  <si>
    <t>IBLHL</t>
  </si>
  <si>
    <t>IBL Healthcare Limited</t>
  </si>
  <si>
    <t>MACTER</t>
  </si>
  <si>
    <t>Macter International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</si>
  <si>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</si>
  <si>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</si>
  <si>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</si>
  <si>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</si>
  <si>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</si>
  <si>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</si>
  <si>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</si>
  <si>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</si>
  <si>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</si>
  <si>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</si>
  <si>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</si>
  <si>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AKZO</t>
  </si>
  <si>
    <t>Akzo Nobel Pakistan Limited</t>
  </si>
  <si>
    <t>ARPL</t>
  </si>
  <si>
    <t>Archroma Pakistan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</si>
  <si>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</si>
  <si>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</si>
  <si>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</si>
  <si>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</si>
  <si>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</si>
  <si>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</si>
  <si>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</si>
  <si>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</si>
  <si>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</si>
  <si>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</si>
  <si>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</si>
  <si>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</si>
  <si>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</si>
  <si>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</si>
  <si>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</si>
  <si>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</si>
  <si>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GGL</t>
  </si>
  <si>
    <t>Ghani Global Holdings Limited (Ghani Gases Limited)</t>
  </si>
  <si>
    <t>ICI</t>
  </si>
  <si>
    <t>ICI Pakistan Limited</t>
  </si>
  <si>
    <t>ICL</t>
  </si>
  <si>
    <t>Ittehad Chemicals Limited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</si>
  <si>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</si>
  <si>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</si>
  <si>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</si>
  <si>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</si>
  <si>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</si>
  <si>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</si>
  <si>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NRSL</t>
  </si>
  <si>
    <t>Nimir Resins Limited</t>
  </si>
  <si>
    <t>PAKOXY</t>
  </si>
  <si>
    <t>Pakistan Oxygen Limited (Linde Pakistan Limited)</t>
  </si>
  <si>
    <t>PGCL</t>
  </si>
  <si>
    <t>Pakistan Gum &amp; Chemicals Limited</t>
  </si>
  <si>
    <t>SARC</t>
  </si>
  <si>
    <t>Sardar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</si>
  <si>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</si>
  <si>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</si>
  <si>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</si>
  <si>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</si>
  <si>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</si>
  <si>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</si>
  <si>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BAPL</t>
  </si>
  <si>
    <t>Bawany Air Products Limited</t>
  </si>
  <si>
    <t>PPVC</t>
  </si>
  <si>
    <t>Pakistan PVC Limited</t>
  </si>
  <si>
    <t>SHCI</t>
  </si>
  <si>
    <t>Shaffi Chemical Industries Limited</t>
  </si>
  <si>
    <t>PAPER &amp; BOARD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</si>
  <si>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</si>
  <si>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</si>
  <si>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</si>
  <si>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</si>
  <si>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</si>
  <si>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</si>
  <si>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</si>
  <si>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</si>
  <si>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</si>
  <si>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</si>
  <si>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RPL</t>
  </si>
  <si>
    <t>Roshan Packages Limited</t>
  </si>
  <si>
    <t>SEPL</t>
  </si>
  <si>
    <t>Security Papers Limited</t>
  </si>
  <si>
    <t>ABSON</t>
  </si>
  <si>
    <t>Abson Industries Limited</t>
  </si>
  <si>
    <t>BPBL</t>
  </si>
  <si>
    <t>Balochistan Particle Board Limited</t>
  </si>
  <si>
    <t>DBSL</t>
  </si>
  <si>
    <t>Dadabhoy Sack Limited</t>
  </si>
  <si>
    <t>VANASPATI &amp; ALLIED INDUSTRIES</t>
  </si>
  <si>
    <t>POML</t>
  </si>
  <si>
    <t>Punjab Oil Mills Limited</t>
  </si>
  <si>
    <t>SSOM</t>
  </si>
  <si>
    <t>S. S. Oil Mills Limited</t>
  </si>
  <si>
    <t>UNITY</t>
  </si>
  <si>
    <t>Unity Foods Limited</t>
  </si>
  <si>
    <t>EXTR</t>
  </si>
  <si>
    <t>Extraction (Pakistan) Limited</t>
  </si>
  <si>
    <t>MOIL</t>
  </si>
  <si>
    <t>Morafco Industries Limited</t>
  </si>
  <si>
    <t>SURAJ</t>
  </si>
  <si>
    <t>Suraj Ghee Mills Limited</t>
  </si>
  <si>
    <t>LEATHER &amp; TANNERIES</t>
  </si>
  <si>
    <t>BATA</t>
  </si>
  <si>
    <t>Bata Pakistan Limited</t>
  </si>
  <si>
    <t>LEUL</t>
  </si>
  <si>
    <t>Leather Up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</si>
  <si>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</si>
  <si>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</si>
  <si>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</si>
  <si>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</si>
  <si>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</si>
  <si>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</si>
  <si>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</si>
  <si>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</si>
  <si>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</si>
  <si>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CLOV</t>
  </si>
  <si>
    <t>Clover Pakistan Limited</t>
  </si>
  <si>
    <t>FCEPL</t>
  </si>
  <si>
    <t>FrieslandCampina Engro Pakistan Limited</t>
  </si>
  <si>
    <t>FFL</t>
  </si>
  <si>
    <t>Fauji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</si>
  <si>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</si>
  <si>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</si>
  <si>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</si>
  <si>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</si>
  <si>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</si>
  <si>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</si>
  <si>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</si>
  <si>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</si>
  <si>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MFL</t>
  </si>
  <si>
    <t>Matco Foods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</si>
  <si>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</si>
  <si>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</si>
  <si>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</si>
  <si>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</si>
  <si>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</si>
  <si>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</si>
  <si>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PREMA</t>
  </si>
  <si>
    <t>At-Tahur Limited</t>
  </si>
  <si>
    <t>QUICE</t>
  </si>
  <si>
    <t>Quice Food Industries Limited</t>
  </si>
  <si>
    <t>RMPL</t>
  </si>
  <si>
    <t>Rafhan Maize Products Limited</t>
  </si>
  <si>
    <t>SCL</t>
  </si>
  <si>
    <t>Shield Corporation Limited</t>
  </si>
  <si>
    <t>SHEZ</t>
  </si>
  <si>
    <t>Shezan International Limited</t>
  </si>
  <si>
    <t>TREET</t>
  </si>
  <si>
    <t>Treet Corporation Limited</t>
  </si>
  <si>
    <t>UPFL</t>
  </si>
  <si>
    <t>Unilever Pakistan Foods Limited</t>
  </si>
  <si>
    <t>ZIL</t>
  </si>
  <si>
    <t>ZIL Limited</t>
  </si>
  <si>
    <t>NMFL</t>
  </si>
  <si>
    <t>Nirala MSR Foods LImited</t>
  </si>
  <si>
    <t>GLASS &amp; CERAMICS</t>
  </si>
  <si>
    <t>BGL</t>
  </si>
  <si>
    <t>Balochistan Glass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</si>
  <si>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</si>
  <si>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</si>
  <si>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</si>
  <si>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</si>
  <si>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</si>
  <si>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</si>
  <si>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</si>
  <si>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</si>
  <si>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</si>
  <si>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</si>
  <si>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</si>
  <si>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</si>
  <si>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</si>
  <si>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</si>
  <si>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</si>
  <si>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</si>
  <si>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</si>
  <si>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AKDCL</t>
  </si>
  <si>
    <t>AKD Capital Limited</t>
  </si>
  <si>
    <t>AKGL</t>
  </si>
  <si>
    <t>Al - Khair Gadoon Limited</t>
  </si>
  <si>
    <t>ARPAK</t>
  </si>
  <si>
    <t>Arpak International Investments Limited</t>
  </si>
  <si>
    <t>ECOP</t>
  </si>
  <si>
    <t>EcoPack Limited</t>
  </si>
  <si>
    <t>GOC</t>
  </si>
  <si>
    <t>GOC (Pakistan) Limited</t>
  </si>
  <si>
    <t>MACFL</t>
  </si>
  <si>
    <t>MacPac Films Limited</t>
  </si>
  <si>
    <t>PACE</t>
  </si>
  <si>
    <t>Pace (Pakistan)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</si>
  <si>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</si>
  <si>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</si>
  <si>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</si>
  <si>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</si>
  <si>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</si>
  <si>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</si>
  <si>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</si>
  <si>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</si>
  <si>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</si>
  <si>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</si>
  <si>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TPLP</t>
  </si>
  <si>
    <t>TPL Properties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</si>
  <si>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</si>
  <si>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</si>
  <si>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</si>
  <si>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</si>
  <si>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</si>
  <si>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</si>
  <si>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</si>
  <si>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&amp; Technology Limited</t>
  </si>
  <si>
    <t>DIIL</t>
  </si>
  <si>
    <t>Diamond Industries Limited</t>
  </si>
  <si>
    <t>GAMON</t>
  </si>
  <si>
    <t>Gammon Pakistan Limited</t>
  </si>
  <si>
    <t>HACC</t>
  </si>
  <si>
    <t>Hashimi Can Company Limited</t>
  </si>
  <si>
    <t>HADC</t>
  </si>
  <si>
    <t>Hayderi Construction Company Limited</t>
  </si>
  <si>
    <t>MWMP</t>
  </si>
  <si>
    <t>Mandviwalla Mauser Plastic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</si>
</sst>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_);\(#,##0.000\)"/>
    <numFmt numFmtId="165" formatCode="#,##0.000_);[Red]\(#,##0.000\)"/>
    <numFmt numFmtId="167" formatCode="#,##0.0_);\(#,##0.0\)"/>
  </numFmts>
  <fonts count="16" x14ac:knownFonts="1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sz val="10"/>
      <color rgb="FF3333FF"/>
      <name val="Tw Cen MT"/>
      <family val="2"/>
    </font>
    <font>
      <b/>
      <i/>
      <sz val="14"/>
      <color indexed="10"/>
      <name val="Tw Cen MT"/>
      <family val="2"/>
    </font>
    <font>
      <b/>
      <sz val="12"/>
      <color rgb="FF3333FF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5" fontId="1" fillId="0" borderId="10" xfId="0" applyNumberFormat="1" applyFont="1" applyBorder="1"/>
    <xf numFmtId="165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165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3" borderId="10" xfId="0" applyFont="1" applyFill="1" applyBorder="1" applyAlignment="1">
      <alignment horizontal="center"/>
    </xf>
    <xf numFmtId="0" fontId="1" fillId="0" borderId="10" xfId="0" applyFont="1" applyFill="1" applyBorder="1"/>
    <xf numFmtId="165" fontId="1" fillId="0" borderId="10" xfId="0" applyNumberFormat="1" applyFont="1" applyBorder="1"/>
    <xf numFmtId="167" fontId="1" fillId="0" borderId="10" xfId="0" applyNumberFormat="1" applyFont="1" applyBorder="1" applyAlignment="1">
      <alignment horizontal="center"/>
    </xf>
    <xf numFmtId="165" fontId="15" fillId="0" borderId="1" xfId="0" applyNumberFormat="1" applyFont="1" applyBorder="1"/>
    <xf numFmtId="165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0" fontId="7" fillId="0" borderId="0" xfId="0" applyFont="1"/>
    <xf numFmtId="0" fontId="14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15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165" fontId="3" fillId="0" borderId="10" xfId="0" applyNumberFormat="1" applyFont="1" applyFill="1" applyBorder="1"/>
    <xf numFmtId="167" fontId="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3" fillId="0" borderId="0" xfId="0" applyNumberFormat="1" applyFont="1" applyBorder="1"/>
    <xf numFmtId="165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  <xf numFmtId="165" fontId="3" fillId="0" borderId="1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01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3" sqref="D3"/>
    </sheetView>
  </sheetViews>
  <sheetFormatPr defaultRowHeight="12.75" x14ac:dyDescent="0.2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3.140625" style="7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4.85546875" style="7" customWidth="1"/>
    <col min="10" max="10" width="16.7109375" style="7" customWidth="1"/>
    <col min="11" max="11" width="16.85546875" style="7" bestFit="1" customWidth="1"/>
    <col min="12" max="12" width="13.7109375" style="7" customWidth="1"/>
    <col min="13" max="13" width="15.28515625" style="7" bestFit="1" customWidth="1"/>
    <col min="14" max="14" width="14.2851562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 x14ac:dyDescent="0.4">
      <c r="B1" s="1"/>
      <c r="C1" s="1"/>
      <c r="D1" s="2" t="s">
        <v>0</v>
      </c>
      <c r="E1" s="3"/>
      <c r="F1" s="4"/>
      <c r="G1" s="5"/>
      <c r="H1" s="6"/>
    </row>
    <row r="2" spans="2:19" ht="15.75" x14ac:dyDescent="0.2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 x14ac:dyDescent="0.2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 x14ac:dyDescent="0.2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 x14ac:dyDescent="0.2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25" t="s">
        <v>33</v>
      </c>
    </row>
    <row r="6" spans="2:19" ht="15.75" x14ac:dyDescent="0.25"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32"/>
      <c r="O6" s="31"/>
      <c r="P6" s="31"/>
      <c r="Q6" s="31"/>
      <c r="R6" s="32"/>
      <c r="S6" s="31"/>
    </row>
    <row r="7" spans="2:19" ht="18.75" x14ac:dyDescent="0.3">
      <c r="B7" s="29"/>
      <c r="C7" s="33">
        <v>1</v>
      </c>
      <c r="D7" s="33" t="s">
        <v>34</v>
      </c>
      <c r="E7" s="29"/>
      <c r="F7" s="29"/>
      <c r="G7" s="29"/>
      <c r="H7" s="30"/>
      <c r="I7" s="31"/>
      <c r="J7" s="31"/>
      <c r="K7" s="31"/>
      <c r="L7" s="31"/>
      <c r="M7" s="31"/>
      <c r="N7" s="32"/>
      <c r="O7" s="31"/>
      <c r="P7" s="31"/>
      <c r="Q7" s="31"/>
      <c r="R7" s="32"/>
      <c r="S7" s="31"/>
    </row>
    <row r="8" spans="2:19" ht="15.75" x14ac:dyDescent="0.25"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32"/>
      <c r="O8" s="31"/>
      <c r="P8" s="31"/>
      <c r="Q8" s="31"/>
      <c r="R8" s="32"/>
      <c r="S8" s="31"/>
    </row>
    <row r="9" spans="2:19" ht="15.75" x14ac:dyDescent="0.25">
      <c r="B9" s="34">
        <v>1</v>
      </c>
      <c r="C9" s="34" t="s">
        <v>35</v>
      </c>
      <c r="D9" s="35" t="s">
        <v>36</v>
      </c>
      <c r="E9" s="36">
        <v>43646</v>
      </c>
      <c r="F9" s="37">
        <v>760.49199999999996</v>
      </c>
      <c r="G9" s="38">
        <v>5</v>
      </c>
      <c r="H9" s="39">
        <f t="shared" ref="H9:H12" si="0">+F9/G9</f>
        <v>152.0984</v>
      </c>
      <c r="I9" s="37">
        <v>1239.6769999999999</v>
      </c>
      <c r="J9" s="37">
        <v>1343.0889999999999</v>
      </c>
      <c r="K9" s="37">
        <v>-233.25299999999999</v>
      </c>
      <c r="L9" s="37">
        <v>0</v>
      </c>
      <c r="M9" s="37">
        <v>-273.29199999999997</v>
      </c>
      <c r="N9" s="39">
        <f t="shared" ref="N9:N12" si="1">+M9-O9</f>
        <v>0</v>
      </c>
      <c r="O9" s="37">
        <v>-273.29199999999997</v>
      </c>
      <c r="P9" s="40">
        <v>0</v>
      </c>
      <c r="Q9" s="40">
        <v>0</v>
      </c>
      <c r="R9" s="41">
        <f t="shared" ref="R9:R12" si="2">SUM(P9:Q9)</f>
        <v>0</v>
      </c>
      <c r="S9" s="42">
        <v>5589</v>
      </c>
    </row>
    <row r="10" spans="2:19" ht="15.75" x14ac:dyDescent="0.25">
      <c r="B10" s="34">
        <f>+B9+1</f>
        <v>2</v>
      </c>
      <c r="C10" s="34" t="s">
        <v>37</v>
      </c>
      <c r="D10" s="35" t="s">
        <v>38</v>
      </c>
      <c r="E10" s="36">
        <v>43646</v>
      </c>
      <c r="F10" s="37"/>
      <c r="G10" s="38">
        <v>10</v>
      </c>
      <c r="H10" s="39">
        <f t="shared" si="0"/>
        <v>0</v>
      </c>
      <c r="I10" s="37"/>
      <c r="J10" s="37"/>
      <c r="K10" s="37"/>
      <c r="L10" s="37"/>
      <c r="M10" s="37"/>
      <c r="N10" s="39">
        <f t="shared" si="1"/>
        <v>0</v>
      </c>
      <c r="O10" s="37"/>
      <c r="P10" s="40"/>
      <c r="Q10" s="40"/>
      <c r="R10" s="41">
        <f t="shared" si="2"/>
        <v>0</v>
      </c>
      <c r="S10" s="42"/>
    </row>
    <row r="11" spans="2:19" ht="15.75" x14ac:dyDescent="0.25">
      <c r="B11" s="34">
        <f>+B10+1</f>
        <v>3</v>
      </c>
      <c r="C11" s="34" t="s">
        <v>39</v>
      </c>
      <c r="D11" s="35" t="s">
        <v>40</v>
      </c>
      <c r="E11" s="36">
        <v>43646</v>
      </c>
      <c r="F11" s="37"/>
      <c r="G11" s="38">
        <v>10</v>
      </c>
      <c r="H11" s="39">
        <f t="shared" si="0"/>
        <v>0</v>
      </c>
      <c r="I11" s="37"/>
      <c r="J11" s="37"/>
      <c r="K11" s="37"/>
      <c r="L11" s="37"/>
      <c r="M11" s="37"/>
      <c r="N11" s="39">
        <f t="shared" si="1"/>
        <v>0</v>
      </c>
      <c r="O11" s="37"/>
      <c r="P11" s="40"/>
      <c r="Q11" s="40"/>
      <c r="R11" s="41">
        <f t="shared" si="2"/>
        <v>0</v>
      </c>
      <c r="S11" s="42"/>
    </row>
    <row r="12" spans="2:19" ht="15.75" x14ac:dyDescent="0.25">
      <c r="B12" s="34">
        <f>+B11+1</f>
        <v>4</v>
      </c>
      <c r="C12" s="34" t="s">
        <v>41</v>
      </c>
      <c r="D12" s="35" t="s">
        <v>42</v>
      </c>
      <c r="E12" s="36">
        <v>43646</v>
      </c>
      <c r="F12" s="37">
        <v>50</v>
      </c>
      <c r="G12" s="38">
        <v>10</v>
      </c>
      <c r="H12" s="39">
        <f t="shared" si="0"/>
        <v>5</v>
      </c>
      <c r="I12" s="37">
        <v>50.359960999999998</v>
      </c>
      <c r="J12" s="37">
        <v>63.370865000000002</v>
      </c>
      <c r="K12" s="37">
        <v>-13.736223000000001</v>
      </c>
      <c r="L12" s="37">
        <v>0</v>
      </c>
      <c r="M12" s="37">
        <v>-16.274363999999998</v>
      </c>
      <c r="N12" s="39">
        <f t="shared" si="1"/>
        <v>0</v>
      </c>
      <c r="O12" s="37">
        <v>-16.274363999999998</v>
      </c>
      <c r="P12" s="40">
        <v>0</v>
      </c>
      <c r="Q12" s="40">
        <v>0</v>
      </c>
      <c r="R12" s="41">
        <f t="shared" si="2"/>
        <v>0</v>
      </c>
      <c r="S12" s="42">
        <v>2633</v>
      </c>
    </row>
    <row r="13" spans="2:19" ht="15.75" x14ac:dyDescent="0.25">
      <c r="B13" s="29"/>
      <c r="C13" s="29"/>
      <c r="D13" s="29"/>
      <c r="E13" s="29"/>
      <c r="F13" s="29"/>
      <c r="G13" s="43"/>
      <c r="H13" s="44"/>
      <c r="I13" s="31"/>
      <c r="J13" s="31"/>
      <c r="K13" s="31"/>
      <c r="L13" s="31"/>
      <c r="M13" s="31"/>
      <c r="N13" s="45"/>
      <c r="O13" s="31"/>
      <c r="P13" s="31"/>
      <c r="Q13" s="31"/>
      <c r="R13" s="45"/>
      <c r="S13" s="31"/>
    </row>
    <row r="14" spans="2:19" ht="18.75" x14ac:dyDescent="0.3">
      <c r="B14" s="29"/>
      <c r="C14" s="29"/>
      <c r="D14" s="46" t="s">
        <v>43</v>
      </c>
      <c r="E14" s="29"/>
      <c r="F14" s="29"/>
      <c r="G14" s="43"/>
      <c r="H14" s="44"/>
      <c r="I14" s="31"/>
      <c r="J14" s="31"/>
      <c r="K14" s="31"/>
      <c r="L14" s="31"/>
      <c r="M14" s="31"/>
      <c r="N14" s="45"/>
      <c r="O14" s="31"/>
      <c r="P14" s="31"/>
      <c r="Q14" s="31"/>
      <c r="R14" s="45"/>
      <c r="S14" s="31"/>
    </row>
    <row r="15" spans="2:19" ht="15.75" x14ac:dyDescent="0.25">
      <c r="B15" s="34">
        <v>1</v>
      </c>
      <c r="C15" s="34" t="s">
        <v>44</v>
      </c>
      <c r="D15" s="35" t="s">
        <v>45</v>
      </c>
      <c r="E15" s="36">
        <v>43646</v>
      </c>
      <c r="F15" s="37"/>
      <c r="G15" s="38">
        <v>10</v>
      </c>
      <c r="H15" s="39">
        <f>+F15/G15</f>
        <v>0</v>
      </c>
      <c r="I15" s="37"/>
      <c r="J15" s="37"/>
      <c r="K15" s="37"/>
      <c r="L15" s="37"/>
      <c r="M15" s="37"/>
      <c r="N15" s="39">
        <f>+M15-O15</f>
        <v>0</v>
      </c>
      <c r="O15" s="37"/>
      <c r="P15" s="40"/>
      <c r="Q15" s="40"/>
      <c r="R15" s="41">
        <f>SUM(P15:Q15)</f>
        <v>0</v>
      </c>
      <c r="S15" s="42"/>
    </row>
    <row r="16" spans="2:19" ht="15.75" x14ac:dyDescent="0.25">
      <c r="B16" s="34">
        <f>+B15+1</f>
        <v>2</v>
      </c>
      <c r="C16" s="34" t="s">
        <v>46</v>
      </c>
      <c r="D16" s="47" t="s">
        <v>47</v>
      </c>
      <c r="E16" s="36">
        <v>43646</v>
      </c>
      <c r="F16" s="37"/>
      <c r="G16" s="38">
        <v>10</v>
      </c>
      <c r="H16" s="39">
        <f>+F16/G16</f>
        <v>0</v>
      </c>
      <c r="I16" s="37"/>
      <c r="J16" s="37"/>
      <c r="K16" s="37"/>
      <c r="L16" s="37"/>
      <c r="M16" s="37"/>
      <c r="N16" s="39">
        <f>+M16-O16</f>
        <v>0</v>
      </c>
      <c r="O16" s="37"/>
      <c r="P16" s="40"/>
      <c r="Q16" s="40"/>
      <c r="R16" s="41">
        <f>SUM(P16:Q16)</f>
        <v>0</v>
      </c>
      <c r="S16" s="42"/>
    </row>
    <row r="17" spans="2:19" ht="15.75" x14ac:dyDescent="0.25">
      <c r="B17" s="34">
        <f>+B16+1</f>
        <v>3</v>
      </c>
      <c r="C17" s="34" t="s">
        <v>48</v>
      </c>
      <c r="D17" s="35" t="s">
        <v>49</v>
      </c>
      <c r="E17" s="36">
        <v>43646</v>
      </c>
      <c r="F17" s="37"/>
      <c r="G17" s="38">
        <v>10</v>
      </c>
      <c r="H17" s="39">
        <f>+F17/G17</f>
        <v>0</v>
      </c>
      <c r="I17" s="37"/>
      <c r="J17" s="37"/>
      <c r="K17" s="37"/>
      <c r="L17" s="37"/>
      <c r="M17" s="37"/>
      <c r="N17" s="39">
        <f>+M17-O17</f>
        <v>0</v>
      </c>
      <c r="O17" s="37"/>
      <c r="P17" s="40"/>
      <c r="Q17" s="40"/>
      <c r="R17" s="41">
        <f>SUM(P17:Q17)</f>
        <v>0</v>
      </c>
      <c r="S17" s="42"/>
    </row>
    <row r="18" spans="2:19" ht="15.75" x14ac:dyDescent="0.25">
      <c r="B18" s="29"/>
      <c r="C18" s="29"/>
      <c r="D18" s="29"/>
      <c r="E18" s="29"/>
      <c r="F18" s="29"/>
      <c r="G18" s="43"/>
      <c r="H18" s="44"/>
      <c r="I18" s="31"/>
      <c r="J18" s="31"/>
      <c r="K18" s="31"/>
      <c r="L18" s="31"/>
      <c r="M18" s="31"/>
      <c r="N18" s="45"/>
      <c r="O18" s="31"/>
      <c r="P18" s="31"/>
      <c r="Q18" s="31"/>
      <c r="R18" s="45"/>
      <c r="S18" s="31"/>
    </row>
    <row r="19" spans="2:19" s="55" customFormat="1" ht="15.75" x14ac:dyDescent="0.25">
      <c r="B19" s="34">
        <f>COUNT(B9:B18)</f>
        <v>7</v>
      </c>
      <c r="C19" s="34"/>
      <c r="D19" s="48"/>
      <c r="E19" s="48"/>
      <c r="F19" s="48">
        <f>SUM(F9:F18)</f>
        <v>810.49199999999996</v>
      </c>
      <c r="G19" s="49"/>
      <c r="H19" s="50">
        <f t="shared" ref="H19:O19" si="3">SUM(H9:H18)</f>
        <v>157.0984</v>
      </c>
      <c r="I19" s="48">
        <f t="shared" si="3"/>
        <v>1290.0369609999998</v>
      </c>
      <c r="J19" s="48">
        <f t="shared" si="3"/>
        <v>1406.459865</v>
      </c>
      <c r="K19" s="48">
        <f t="shared" si="3"/>
        <v>-246.98922299999998</v>
      </c>
      <c r="L19" s="48">
        <f t="shared" si="3"/>
        <v>0</v>
      </c>
      <c r="M19" s="48">
        <f t="shared" si="3"/>
        <v>-289.56636399999996</v>
      </c>
      <c r="N19" s="51">
        <f t="shared" si="3"/>
        <v>0</v>
      </c>
      <c r="O19" s="48">
        <f t="shared" si="3"/>
        <v>-289.56636399999996</v>
      </c>
      <c r="P19" s="52"/>
      <c r="Q19" s="52"/>
      <c r="R19" s="53"/>
      <c r="S19" s="54">
        <f>SUM(S9:S18)</f>
        <v>8222</v>
      </c>
    </row>
    <row r="20" spans="2:19" ht="15.75" x14ac:dyDescent="0.25">
      <c r="B20" s="29"/>
      <c r="C20" s="29"/>
      <c r="D20" s="29"/>
      <c r="E20" s="29"/>
      <c r="F20" s="29"/>
      <c r="G20" s="43"/>
      <c r="H20" s="44"/>
      <c r="I20" s="31"/>
      <c r="J20" s="31"/>
      <c r="K20" s="31"/>
      <c r="L20" s="31"/>
      <c r="M20" s="31"/>
      <c r="N20" s="45"/>
      <c r="O20" s="31"/>
      <c r="P20" s="31"/>
      <c r="Q20" s="31"/>
      <c r="R20" s="45"/>
      <c r="S20" s="31"/>
    </row>
    <row r="21" spans="2:19" ht="15.75" x14ac:dyDescent="0.25">
      <c r="B21" s="29"/>
      <c r="C21" s="29"/>
      <c r="D21" s="29"/>
      <c r="E21" s="29"/>
      <c r="F21" s="29"/>
      <c r="G21" s="43"/>
      <c r="H21" s="44"/>
      <c r="I21" s="31"/>
      <c r="J21" s="31"/>
      <c r="K21" s="31"/>
      <c r="L21" s="31"/>
      <c r="M21" s="31"/>
      <c r="N21" s="45"/>
      <c r="O21" s="31"/>
      <c r="P21" s="31"/>
      <c r="Q21" s="31"/>
      <c r="R21" s="45"/>
      <c r="S21" s="31"/>
    </row>
    <row r="22" spans="2:19" ht="18.75" x14ac:dyDescent="0.3">
      <c r="B22" s="29"/>
      <c r="C22" s="33">
        <v>2</v>
      </c>
      <c r="D22" s="33" t="s">
        <v>50</v>
      </c>
      <c r="E22" s="29"/>
      <c r="F22" s="29"/>
      <c r="G22" s="43"/>
      <c r="H22" s="44"/>
      <c r="I22" s="31"/>
      <c r="J22" s="31"/>
      <c r="K22" s="31"/>
      <c r="L22" s="31"/>
      <c r="M22" s="31"/>
      <c r="N22" s="45"/>
      <c r="O22" s="31"/>
      <c r="P22" s="31"/>
      <c r="Q22" s="31"/>
      <c r="R22" s="45"/>
      <c r="S22" s="31"/>
    </row>
    <row r="23" spans="2:19" ht="15.75" x14ac:dyDescent="0.25">
      <c r="B23" s="29"/>
      <c r="C23" s="29"/>
      <c r="D23" s="29"/>
      <c r="E23" s="29"/>
      <c r="F23" s="29"/>
      <c r="G23" s="43"/>
      <c r="H23" s="44"/>
      <c r="I23" s="31"/>
      <c r="J23" s="31"/>
      <c r="K23" s="31"/>
      <c r="L23" s="31"/>
      <c r="M23" s="31"/>
      <c r="N23" s="45"/>
      <c r="O23" s="31"/>
      <c r="P23" s="31"/>
      <c r="Q23" s="31"/>
      <c r="R23" s="45"/>
      <c r="S23" s="31"/>
    </row>
    <row r="24" spans="2:19" ht="15.75" x14ac:dyDescent="0.25">
      <c r="B24" s="34">
        <v>1</v>
      </c>
      <c r="C24" s="34" t="s">
        <v>51</v>
      </c>
      <c r="D24" s="35" t="s">
        <v>52</v>
      </c>
      <c r="E24" s="36">
        <v>43646</v>
      </c>
      <c r="F24" s="37">
        <v>2200</v>
      </c>
      <c r="G24" s="38">
        <v>10</v>
      </c>
      <c r="H24" s="39">
        <f t="shared" ref="H24:H50" si="4">+F24/G24</f>
        <v>220</v>
      </c>
      <c r="I24" s="37">
        <v>5333.5383739999997</v>
      </c>
      <c r="J24" s="37">
        <v>8829.0374030000003</v>
      </c>
      <c r="K24" s="37">
        <v>3926.5644590000002</v>
      </c>
      <c r="L24" s="37">
        <v>288.372592</v>
      </c>
      <c r="M24" s="37">
        <v>382.85386299999999</v>
      </c>
      <c r="N24" s="39">
        <f t="shared" ref="N24:N50" si="5">+M24-O24</f>
        <v>0</v>
      </c>
      <c r="O24" s="37">
        <v>382.85386299999999</v>
      </c>
      <c r="P24" s="40">
        <v>10</v>
      </c>
      <c r="Q24" s="40">
        <v>0</v>
      </c>
      <c r="R24" s="41">
        <f t="shared" ref="R24:R50" si="6">SUM(P24:Q24)</f>
        <v>10</v>
      </c>
      <c r="S24" s="42">
        <v>441</v>
      </c>
    </row>
    <row r="25" spans="2:19" ht="15.75" x14ac:dyDescent="0.25">
      <c r="B25" s="34">
        <f>+B24+1</f>
        <v>2</v>
      </c>
      <c r="C25" s="34" t="s">
        <v>53</v>
      </c>
      <c r="D25" s="35" t="s">
        <v>54</v>
      </c>
      <c r="E25" s="36">
        <v>43646</v>
      </c>
      <c r="F25" s="37">
        <v>1000</v>
      </c>
      <c r="G25" s="38">
        <v>10</v>
      </c>
      <c r="H25" s="39">
        <f>+F25/G25</f>
        <v>100</v>
      </c>
      <c r="I25" s="37">
        <v>1184.7575079999999</v>
      </c>
      <c r="J25" s="37">
        <v>1234.332197</v>
      </c>
      <c r="K25" s="37">
        <v>185.381248</v>
      </c>
      <c r="L25" s="37">
        <v>9.1992000000000004E-2</v>
      </c>
      <c r="M25" s="37">
        <v>111.383055</v>
      </c>
      <c r="N25" s="39">
        <f>+M25-O25</f>
        <v>0</v>
      </c>
      <c r="O25" s="37">
        <v>111.383055</v>
      </c>
      <c r="P25" s="40">
        <v>8.9</v>
      </c>
      <c r="Q25" s="40">
        <v>0</v>
      </c>
      <c r="R25" s="41">
        <f>SUM(P25:Q25)</f>
        <v>8.9</v>
      </c>
      <c r="S25" s="42">
        <v>266</v>
      </c>
    </row>
    <row r="26" spans="2:19" ht="15.75" x14ac:dyDescent="0.25">
      <c r="B26" s="34">
        <f>+B25+1</f>
        <v>3</v>
      </c>
      <c r="C26" s="34" t="s">
        <v>55</v>
      </c>
      <c r="D26" s="35" t="s">
        <v>56</v>
      </c>
      <c r="E26" s="36">
        <v>43646</v>
      </c>
      <c r="F26" s="37">
        <v>75.151587000000006</v>
      </c>
      <c r="G26" s="38">
        <v>10</v>
      </c>
      <c r="H26" s="39">
        <f t="shared" si="4"/>
        <v>7.5151587000000006</v>
      </c>
      <c r="I26" s="37">
        <v>136.19082900000001</v>
      </c>
      <c r="J26" s="37">
        <v>126.315076</v>
      </c>
      <c r="K26" s="37">
        <v>10.209037</v>
      </c>
      <c r="L26" s="37">
        <v>0</v>
      </c>
      <c r="M26" s="37">
        <v>3.056953</v>
      </c>
      <c r="N26" s="39">
        <f t="shared" si="5"/>
        <v>1.275423</v>
      </c>
      <c r="O26" s="37">
        <v>1.7815300000000001</v>
      </c>
      <c r="P26" s="40">
        <v>0</v>
      </c>
      <c r="Q26" s="40">
        <v>0</v>
      </c>
      <c r="R26" s="41">
        <f t="shared" si="6"/>
        <v>0</v>
      </c>
      <c r="S26" s="42">
        <v>1211</v>
      </c>
    </row>
    <row r="27" spans="2:19" ht="15.75" x14ac:dyDescent="0.25">
      <c r="B27" s="34">
        <f t="shared" ref="B27:B50" si="7">+B26+1</f>
        <v>4</v>
      </c>
      <c r="C27" s="34" t="s">
        <v>57</v>
      </c>
      <c r="D27" s="35" t="s">
        <v>58</v>
      </c>
      <c r="E27" s="36">
        <v>43646</v>
      </c>
      <c r="F27" s="37">
        <v>863.62262999999996</v>
      </c>
      <c r="G27" s="38">
        <v>10</v>
      </c>
      <c r="H27" s="39">
        <f t="shared" si="4"/>
        <v>86.362262999999999</v>
      </c>
      <c r="I27" s="37">
        <v>1373.745817</v>
      </c>
      <c r="J27" s="37">
        <v>1838.3142</v>
      </c>
      <c r="K27" s="37">
        <v>227.617189</v>
      </c>
      <c r="L27" s="37">
        <v>26.421012999999999</v>
      </c>
      <c r="M27" s="37">
        <v>44.843342999999997</v>
      </c>
      <c r="N27" s="39">
        <f t="shared" si="5"/>
        <v>0</v>
      </c>
      <c r="O27" s="37">
        <v>44.843342999999997</v>
      </c>
      <c r="P27" s="40">
        <v>2.4</v>
      </c>
      <c r="Q27" s="40">
        <v>0</v>
      </c>
      <c r="R27" s="41">
        <f t="shared" si="6"/>
        <v>2.4</v>
      </c>
      <c r="S27" s="42">
        <v>7876</v>
      </c>
    </row>
    <row r="28" spans="2:19" ht="15.75" x14ac:dyDescent="0.25">
      <c r="B28" s="34">
        <f t="shared" si="7"/>
        <v>5</v>
      </c>
      <c r="C28" s="34" t="s">
        <v>59</v>
      </c>
      <c r="D28" s="35" t="s">
        <v>60</v>
      </c>
      <c r="E28" s="36">
        <v>43646</v>
      </c>
      <c r="F28" s="37">
        <v>210</v>
      </c>
      <c r="G28" s="38">
        <v>10</v>
      </c>
      <c r="H28" s="39">
        <f t="shared" si="4"/>
        <v>21</v>
      </c>
      <c r="I28" s="37">
        <v>244.639499</v>
      </c>
      <c r="J28" s="37">
        <v>288.95890700000001</v>
      </c>
      <c r="K28" s="37">
        <v>27.211095</v>
      </c>
      <c r="L28" s="37">
        <v>2.6967999999999999E-2</v>
      </c>
      <c r="M28" s="37">
        <v>-14.116685</v>
      </c>
      <c r="N28" s="39">
        <f t="shared" si="5"/>
        <v>0</v>
      </c>
      <c r="O28" s="37">
        <v>-14.116685</v>
      </c>
      <c r="P28" s="40">
        <v>0</v>
      </c>
      <c r="Q28" s="40">
        <v>0</v>
      </c>
      <c r="R28" s="41">
        <f t="shared" si="6"/>
        <v>0</v>
      </c>
      <c r="S28" s="42">
        <v>589</v>
      </c>
    </row>
    <row r="29" spans="2:19" ht="15.75" x14ac:dyDescent="0.25">
      <c r="B29" s="34">
        <f t="shared" si="7"/>
        <v>6</v>
      </c>
      <c r="C29" s="34" t="s">
        <v>61</v>
      </c>
      <c r="D29" s="35" t="s">
        <v>62</v>
      </c>
      <c r="E29" s="36">
        <v>43646</v>
      </c>
      <c r="F29" s="37"/>
      <c r="G29" s="38">
        <v>10</v>
      </c>
      <c r="H29" s="39">
        <f t="shared" si="4"/>
        <v>0</v>
      </c>
      <c r="I29" s="37"/>
      <c r="J29" s="37"/>
      <c r="K29" s="37"/>
      <c r="L29" s="37"/>
      <c r="M29" s="37"/>
      <c r="N29" s="39">
        <f t="shared" si="5"/>
        <v>0</v>
      </c>
      <c r="O29" s="37"/>
      <c r="P29" s="40"/>
      <c r="Q29" s="40"/>
      <c r="R29" s="41">
        <f t="shared" si="6"/>
        <v>0</v>
      </c>
      <c r="S29" s="42"/>
    </row>
    <row r="30" spans="2:19" ht="15.75" x14ac:dyDescent="0.25">
      <c r="B30" s="34">
        <f t="shared" si="7"/>
        <v>7</v>
      </c>
      <c r="C30" s="34" t="s">
        <v>63</v>
      </c>
      <c r="D30" s="35" t="s">
        <v>64</v>
      </c>
      <c r="E30" s="36">
        <v>43646</v>
      </c>
      <c r="F30" s="37">
        <v>113.4</v>
      </c>
      <c r="G30" s="38">
        <v>10</v>
      </c>
      <c r="H30" s="39">
        <f t="shared" si="4"/>
        <v>11.34</v>
      </c>
      <c r="I30" s="37">
        <v>113.247495</v>
      </c>
      <c r="J30" s="37">
        <v>182.26926700000001</v>
      </c>
      <c r="K30" s="37">
        <v>45.420865999999997</v>
      </c>
      <c r="L30" s="37">
        <v>9.3120000000000008E-3</v>
      </c>
      <c r="M30" s="37">
        <v>-3.8902350000000001</v>
      </c>
      <c r="N30" s="39">
        <f t="shared" si="5"/>
        <v>0.48026800000000014</v>
      </c>
      <c r="O30" s="37">
        <v>-4.3705030000000002</v>
      </c>
      <c r="P30" s="40">
        <v>0</v>
      </c>
      <c r="Q30" s="40">
        <v>0</v>
      </c>
      <c r="R30" s="41">
        <f t="shared" si="6"/>
        <v>0</v>
      </c>
      <c r="S30" s="42">
        <v>4538</v>
      </c>
    </row>
    <row r="31" spans="2:19" ht="15.75" x14ac:dyDescent="0.25">
      <c r="B31" s="34">
        <f t="shared" si="7"/>
        <v>8</v>
      </c>
      <c r="C31" s="34" t="s">
        <v>65</v>
      </c>
      <c r="D31" s="35" t="s">
        <v>66</v>
      </c>
      <c r="E31" s="36">
        <v>43646</v>
      </c>
      <c r="F31" s="37">
        <v>524.4</v>
      </c>
      <c r="G31" s="38">
        <v>10</v>
      </c>
      <c r="H31" s="39">
        <f t="shared" si="4"/>
        <v>52.44</v>
      </c>
      <c r="I31" s="37">
        <v>594.30969900000002</v>
      </c>
      <c r="J31" s="37">
        <v>636.45583499999998</v>
      </c>
      <c r="K31" s="37">
        <f>18.20651+1.607096</f>
        <v>19.813606</v>
      </c>
      <c r="L31" s="37">
        <v>1.3724E-2</v>
      </c>
      <c r="M31" s="37">
        <v>-3.303722</v>
      </c>
      <c r="N31" s="39">
        <f t="shared" si="5"/>
        <v>0</v>
      </c>
      <c r="O31" s="37">
        <v>-3.303722</v>
      </c>
      <c r="P31" s="40">
        <v>0</v>
      </c>
      <c r="Q31" s="40">
        <v>0</v>
      </c>
      <c r="R31" s="41">
        <f t="shared" si="6"/>
        <v>0</v>
      </c>
      <c r="S31" s="42">
        <v>5066</v>
      </c>
    </row>
    <row r="32" spans="2:19" ht="15.75" x14ac:dyDescent="0.25">
      <c r="B32" s="34">
        <f t="shared" si="7"/>
        <v>9</v>
      </c>
      <c r="C32" s="34" t="s">
        <v>67</v>
      </c>
      <c r="D32" s="35" t="s">
        <v>68</v>
      </c>
      <c r="E32" s="36">
        <v>43646</v>
      </c>
      <c r="F32" s="37">
        <v>264.13803999999999</v>
      </c>
      <c r="G32" s="38">
        <v>10</v>
      </c>
      <c r="H32" s="39">
        <f t="shared" si="4"/>
        <v>26.413803999999999</v>
      </c>
      <c r="I32" s="37">
        <v>341.00326100000001</v>
      </c>
      <c r="J32" s="37">
        <v>382.25177600000001</v>
      </c>
      <c r="K32" s="37">
        <v>27.292552000000001</v>
      </c>
      <c r="L32" s="37">
        <v>7.5453999999999993E-2</v>
      </c>
      <c r="M32" s="37">
        <v>1.385888</v>
      </c>
      <c r="N32" s="39">
        <f t="shared" si="5"/>
        <v>0.23560099999999995</v>
      </c>
      <c r="O32" s="37">
        <v>1.1502870000000001</v>
      </c>
      <c r="P32" s="40">
        <v>0</v>
      </c>
      <c r="Q32" s="40">
        <v>0</v>
      </c>
      <c r="R32" s="41">
        <f t="shared" si="6"/>
        <v>0</v>
      </c>
      <c r="S32" s="42">
        <v>7456</v>
      </c>
    </row>
    <row r="33" spans="2:19" ht="15.75" x14ac:dyDescent="0.25">
      <c r="B33" s="34">
        <f t="shared" si="7"/>
        <v>10</v>
      </c>
      <c r="C33" s="34" t="s">
        <v>69</v>
      </c>
      <c r="D33" s="35" t="s">
        <v>70</v>
      </c>
      <c r="E33" s="36">
        <v>43646</v>
      </c>
      <c r="F33" s="37">
        <v>1008</v>
      </c>
      <c r="G33" s="38">
        <v>5</v>
      </c>
      <c r="H33" s="39">
        <f t="shared" si="4"/>
        <v>201.6</v>
      </c>
      <c r="I33" s="37">
        <v>3511.722123</v>
      </c>
      <c r="J33" s="37">
        <v>11124.024230000001</v>
      </c>
      <c r="K33" s="37">
        <v>1045.1074799999999</v>
      </c>
      <c r="L33" s="37">
        <v>543.46507199999996</v>
      </c>
      <c r="M33" s="37">
        <v>319.68516199999999</v>
      </c>
      <c r="N33" s="39">
        <f t="shared" si="5"/>
        <v>0</v>
      </c>
      <c r="O33" s="37">
        <v>319.68516199999999</v>
      </c>
      <c r="P33" s="40">
        <v>28</v>
      </c>
      <c r="Q33" s="40">
        <v>0</v>
      </c>
      <c r="R33" s="41">
        <f t="shared" si="6"/>
        <v>28</v>
      </c>
      <c r="S33" s="42">
        <v>4600</v>
      </c>
    </row>
    <row r="34" spans="2:19" ht="15.75" x14ac:dyDescent="0.25">
      <c r="B34" s="34">
        <f t="shared" si="7"/>
        <v>11</v>
      </c>
      <c r="C34" s="34" t="s">
        <v>71</v>
      </c>
      <c r="D34" s="35" t="s">
        <v>72</v>
      </c>
      <c r="E34" s="36">
        <v>43646</v>
      </c>
      <c r="F34" s="37">
        <v>216.875</v>
      </c>
      <c r="G34" s="38">
        <v>10</v>
      </c>
      <c r="H34" s="39">
        <f t="shared" si="4"/>
        <v>21.6875</v>
      </c>
      <c r="I34" s="37">
        <v>190.96576099999999</v>
      </c>
      <c r="J34" s="37">
        <v>229.73393899999999</v>
      </c>
      <c r="K34" s="37">
        <v>36.674914000000001</v>
      </c>
      <c r="L34" s="37">
        <v>0</v>
      </c>
      <c r="M34" s="37">
        <v>4.7081799999999996</v>
      </c>
      <c r="N34" s="39">
        <f t="shared" si="5"/>
        <v>0</v>
      </c>
      <c r="O34" s="37">
        <v>4.7081799999999996</v>
      </c>
      <c r="P34" s="40">
        <v>1.6</v>
      </c>
      <c r="Q34" s="40">
        <v>0</v>
      </c>
      <c r="R34" s="41">
        <f t="shared" si="6"/>
        <v>1.6</v>
      </c>
      <c r="S34" s="42">
        <v>1230</v>
      </c>
    </row>
    <row r="35" spans="2:19" ht="15.75" x14ac:dyDescent="0.25">
      <c r="B35" s="34">
        <f t="shared" si="7"/>
        <v>12</v>
      </c>
      <c r="C35" s="34" t="s">
        <v>73</v>
      </c>
      <c r="D35" s="35" t="s">
        <v>74</v>
      </c>
      <c r="E35" s="36">
        <v>43646</v>
      </c>
      <c r="F35" s="37">
        <v>30</v>
      </c>
      <c r="G35" s="38">
        <v>10</v>
      </c>
      <c r="H35" s="39">
        <f t="shared" si="4"/>
        <v>3</v>
      </c>
      <c r="I35" s="37">
        <v>139.163535</v>
      </c>
      <c r="J35" s="37">
        <v>341.22893699999997</v>
      </c>
      <c r="K35" s="37">
        <v>705.64941099999999</v>
      </c>
      <c r="L35" s="37">
        <v>0</v>
      </c>
      <c r="M35" s="37">
        <v>58.568562</v>
      </c>
      <c r="N35" s="39">
        <f t="shared" si="5"/>
        <v>33.258444999999995</v>
      </c>
      <c r="O35" s="37">
        <v>25.310117000000002</v>
      </c>
      <c r="P35" s="40">
        <v>50</v>
      </c>
      <c r="Q35" s="40">
        <v>0</v>
      </c>
      <c r="R35" s="41">
        <f t="shared" si="6"/>
        <v>50</v>
      </c>
      <c r="S35" s="42">
        <v>364</v>
      </c>
    </row>
    <row r="36" spans="2:19" ht="15.75" x14ac:dyDescent="0.25">
      <c r="B36" s="34">
        <f t="shared" si="7"/>
        <v>13</v>
      </c>
      <c r="C36" s="34" t="s">
        <v>75</v>
      </c>
      <c r="D36" s="47" t="s">
        <v>76</v>
      </c>
      <c r="E36" s="36">
        <v>43646</v>
      </c>
      <c r="F36" s="37">
        <v>340.2</v>
      </c>
      <c r="G36" s="38">
        <v>10</v>
      </c>
      <c r="H36" s="39">
        <f t="shared" si="4"/>
        <v>34.019999999999996</v>
      </c>
      <c r="I36" s="37">
        <v>192.60912300000001</v>
      </c>
      <c r="J36" s="37">
        <v>2129.5960439999999</v>
      </c>
      <c r="K36" s="37">
        <v>187.43026599999999</v>
      </c>
      <c r="L36" s="37">
        <v>150.41999999999999</v>
      </c>
      <c r="M36" s="37">
        <v>6.6880579999999998</v>
      </c>
      <c r="N36" s="39">
        <f t="shared" si="5"/>
        <v>0.4625414000000001</v>
      </c>
      <c r="O36" s="37">
        <v>6.2255165999999997</v>
      </c>
      <c r="P36" s="40">
        <v>0</v>
      </c>
      <c r="Q36" s="40">
        <v>0</v>
      </c>
      <c r="R36" s="41">
        <f t="shared" si="6"/>
        <v>0</v>
      </c>
      <c r="S36" s="42">
        <v>4181</v>
      </c>
    </row>
    <row r="37" spans="2:19" ht="15.75" x14ac:dyDescent="0.25">
      <c r="B37" s="34">
        <f t="shared" si="7"/>
        <v>14</v>
      </c>
      <c r="C37" s="34" t="s">
        <v>77</v>
      </c>
      <c r="D37" s="35" t="s">
        <v>78</v>
      </c>
      <c r="E37" s="36">
        <v>43646</v>
      </c>
      <c r="F37" s="37">
        <v>137.88419300000001</v>
      </c>
      <c r="G37" s="38">
        <v>10</v>
      </c>
      <c r="H37" s="39">
        <f t="shared" si="4"/>
        <v>13.788419300000001</v>
      </c>
      <c r="I37" s="37">
        <v>215.574162</v>
      </c>
      <c r="J37" s="37">
        <v>466.944098</v>
      </c>
      <c r="K37" s="37">
        <v>220.274484</v>
      </c>
      <c r="L37" s="37">
        <v>12.908942</v>
      </c>
      <c r="M37" s="37">
        <v>12.085098</v>
      </c>
      <c r="N37" s="39">
        <f t="shared" si="5"/>
        <v>0</v>
      </c>
      <c r="O37" s="37">
        <v>12.085098</v>
      </c>
      <c r="P37" s="40">
        <v>10</v>
      </c>
      <c r="Q37" s="40">
        <v>0</v>
      </c>
      <c r="R37" s="41">
        <f t="shared" si="6"/>
        <v>10</v>
      </c>
      <c r="S37" s="42">
        <v>1294</v>
      </c>
    </row>
    <row r="38" spans="2:19" ht="15.75" x14ac:dyDescent="0.25">
      <c r="B38" s="34">
        <f t="shared" si="7"/>
        <v>15</v>
      </c>
      <c r="C38" s="34" t="s">
        <v>79</v>
      </c>
      <c r="D38" s="35" t="s">
        <v>80</v>
      </c>
      <c r="E38" s="36">
        <v>43646</v>
      </c>
      <c r="F38" s="37">
        <v>1956</v>
      </c>
      <c r="G38" s="38">
        <v>10</v>
      </c>
      <c r="H38" s="39">
        <f>+F38/G38</f>
        <v>195.6</v>
      </c>
      <c r="I38" s="37">
        <v>2042.8420000000001</v>
      </c>
      <c r="J38" s="37">
        <v>13175.694</v>
      </c>
      <c r="K38" s="37">
        <v>4569.3999999999996</v>
      </c>
      <c r="L38" s="37">
        <v>346.024</v>
      </c>
      <c r="M38" s="37">
        <v>-2391.7919999999999</v>
      </c>
      <c r="N38" s="39">
        <f>+M38-O38</f>
        <v>0</v>
      </c>
      <c r="O38" s="37">
        <v>-2391.7919999999999</v>
      </c>
      <c r="P38" s="40">
        <v>0</v>
      </c>
      <c r="Q38" s="40">
        <v>0</v>
      </c>
      <c r="R38" s="41">
        <f>SUM(P38:Q38)</f>
        <v>0</v>
      </c>
      <c r="S38" s="42">
        <v>214</v>
      </c>
    </row>
    <row r="39" spans="2:19" ht="15.75" x14ac:dyDescent="0.25">
      <c r="B39" s="34">
        <f t="shared" si="7"/>
        <v>16</v>
      </c>
      <c r="C39" s="34" t="s">
        <v>81</v>
      </c>
      <c r="D39" s="35" t="s">
        <v>82</v>
      </c>
      <c r="E39" s="36">
        <v>43646</v>
      </c>
      <c r="F39" s="37">
        <v>211.63104000000001</v>
      </c>
      <c r="G39" s="38">
        <v>10</v>
      </c>
      <c r="H39" s="39">
        <f t="shared" si="4"/>
        <v>21.163104000000001</v>
      </c>
      <c r="I39" s="37">
        <v>180.11555100000001</v>
      </c>
      <c r="J39" s="37">
        <v>193.09367900000001</v>
      </c>
      <c r="K39" s="37">
        <v>19.960830000000001</v>
      </c>
      <c r="L39" s="37">
        <v>1.1561E-2</v>
      </c>
      <c r="M39" s="37">
        <v>-20.424593999999999</v>
      </c>
      <c r="N39" s="39">
        <f t="shared" si="5"/>
        <v>0</v>
      </c>
      <c r="O39" s="37">
        <v>-20.424593999999999</v>
      </c>
      <c r="P39" s="40">
        <v>0</v>
      </c>
      <c r="Q39" s="40">
        <v>0</v>
      </c>
      <c r="R39" s="41">
        <f t="shared" si="6"/>
        <v>0</v>
      </c>
      <c r="S39" s="42">
        <v>2581</v>
      </c>
    </row>
    <row r="40" spans="2:19" ht="15.75" x14ac:dyDescent="0.25">
      <c r="B40" s="34">
        <f t="shared" si="7"/>
        <v>17</v>
      </c>
      <c r="C40" s="34" t="s">
        <v>83</v>
      </c>
      <c r="D40" s="35" t="s">
        <v>84</v>
      </c>
      <c r="E40" s="36">
        <v>43646</v>
      </c>
      <c r="F40" s="37">
        <v>290.25247000000002</v>
      </c>
      <c r="G40" s="38">
        <v>10</v>
      </c>
      <c r="H40" s="39">
        <f t="shared" si="4"/>
        <v>29.025247</v>
      </c>
      <c r="I40" s="37">
        <f>464.507498-24.432463</f>
        <v>440.07503500000001</v>
      </c>
      <c r="J40" s="37">
        <v>493.55751500000002</v>
      </c>
      <c r="K40" s="37">
        <v>35.004423000000003</v>
      </c>
      <c r="L40" s="37">
        <v>2.473157</v>
      </c>
      <c r="M40" s="37">
        <v>-0.29433900000000002</v>
      </c>
      <c r="N40" s="39">
        <f t="shared" si="5"/>
        <v>0.38232900000000003</v>
      </c>
      <c r="O40" s="37">
        <v>-0.67666800000000005</v>
      </c>
      <c r="P40" s="40">
        <v>0</v>
      </c>
      <c r="Q40" s="40">
        <v>10</v>
      </c>
      <c r="R40" s="41">
        <f t="shared" si="6"/>
        <v>10</v>
      </c>
      <c r="S40" s="42">
        <v>3315</v>
      </c>
    </row>
    <row r="41" spans="2:19" ht="15.75" x14ac:dyDescent="0.25">
      <c r="B41" s="34">
        <f t="shared" si="7"/>
        <v>18</v>
      </c>
      <c r="C41" s="34" t="s">
        <v>85</v>
      </c>
      <c r="D41" s="35" t="s">
        <v>86</v>
      </c>
      <c r="E41" s="36">
        <v>43646</v>
      </c>
      <c r="F41" s="37">
        <v>480.66480000000001</v>
      </c>
      <c r="G41" s="38">
        <v>10</v>
      </c>
      <c r="H41" s="39">
        <f t="shared" si="4"/>
        <v>48.066479999999999</v>
      </c>
      <c r="I41" s="37">
        <v>240.70808299999999</v>
      </c>
      <c r="J41" s="37">
        <v>270.58351099999999</v>
      </c>
      <c r="K41" s="37">
        <v>32.885627999999997</v>
      </c>
      <c r="L41" s="37">
        <v>3.7961770000000001</v>
      </c>
      <c r="M41" s="37">
        <v>-34.239539999999998</v>
      </c>
      <c r="N41" s="39">
        <f t="shared" si="5"/>
        <v>0</v>
      </c>
      <c r="O41" s="37">
        <v>-34.239539999999998</v>
      </c>
      <c r="P41" s="40">
        <v>0</v>
      </c>
      <c r="Q41" s="40">
        <v>0</v>
      </c>
      <c r="R41" s="41">
        <f t="shared" si="6"/>
        <v>0</v>
      </c>
      <c r="S41" s="42">
        <v>1160</v>
      </c>
    </row>
    <row r="42" spans="2:19" ht="15.75" x14ac:dyDescent="0.25">
      <c r="B42" s="34">
        <f t="shared" si="7"/>
        <v>19</v>
      </c>
      <c r="C42" s="34" t="s">
        <v>87</v>
      </c>
      <c r="D42" s="35" t="s">
        <v>88</v>
      </c>
      <c r="E42" s="36">
        <v>43646</v>
      </c>
      <c r="F42" s="37">
        <v>184.23945000000001</v>
      </c>
      <c r="G42" s="38">
        <v>10</v>
      </c>
      <c r="H42" s="39">
        <f t="shared" si="4"/>
        <v>18.423945</v>
      </c>
      <c r="I42" s="37">
        <v>233.299678</v>
      </c>
      <c r="J42" s="37">
        <v>261.08585199999999</v>
      </c>
      <c r="K42" s="37">
        <v>36.117446999999999</v>
      </c>
      <c r="L42" s="37">
        <v>0</v>
      </c>
      <c r="M42" s="37">
        <v>8.7801869999999997</v>
      </c>
      <c r="N42" s="39">
        <f t="shared" si="5"/>
        <v>0.81550399999999978</v>
      </c>
      <c r="O42" s="37">
        <v>7.964683</v>
      </c>
      <c r="P42" s="40">
        <v>1.6</v>
      </c>
      <c r="Q42" s="40">
        <v>0</v>
      </c>
      <c r="R42" s="41">
        <f t="shared" si="6"/>
        <v>1.6</v>
      </c>
      <c r="S42" s="42">
        <v>3549</v>
      </c>
    </row>
    <row r="43" spans="2:19" ht="15.75" x14ac:dyDescent="0.25">
      <c r="B43" s="34">
        <f t="shared" si="7"/>
        <v>20</v>
      </c>
      <c r="C43" s="34" t="s">
        <v>89</v>
      </c>
      <c r="D43" s="47" t="s">
        <v>90</v>
      </c>
      <c r="E43" s="36">
        <v>43646</v>
      </c>
      <c r="F43" s="37">
        <v>125.4</v>
      </c>
      <c r="G43" s="38">
        <v>10</v>
      </c>
      <c r="H43" s="39">
        <f t="shared" si="4"/>
        <v>12.540000000000001</v>
      </c>
      <c r="I43" s="37">
        <v>66.196010999999999</v>
      </c>
      <c r="J43" s="37">
        <v>72.639906999999994</v>
      </c>
      <c r="K43" s="37">
        <v>13.379484</v>
      </c>
      <c r="L43" s="37">
        <v>0</v>
      </c>
      <c r="M43" s="37">
        <v>1.211058</v>
      </c>
      <c r="N43" s="39">
        <f t="shared" si="5"/>
        <v>0.69687599999999994</v>
      </c>
      <c r="O43" s="37">
        <v>0.51418200000000003</v>
      </c>
      <c r="P43" s="40">
        <v>0</v>
      </c>
      <c r="Q43" s="40">
        <v>0</v>
      </c>
      <c r="R43" s="41">
        <f t="shared" si="6"/>
        <v>0</v>
      </c>
      <c r="S43" s="42">
        <v>4161</v>
      </c>
    </row>
    <row r="44" spans="2:19" ht="15.75" x14ac:dyDescent="0.25">
      <c r="B44" s="34">
        <f t="shared" si="7"/>
        <v>21</v>
      </c>
      <c r="C44" s="34" t="s">
        <v>91</v>
      </c>
      <c r="D44" s="47" t="s">
        <v>92</v>
      </c>
      <c r="E44" s="36">
        <v>43646</v>
      </c>
      <c r="F44" s="37">
        <v>872.17660000000001</v>
      </c>
      <c r="G44" s="38">
        <v>10</v>
      </c>
      <c r="H44" s="39">
        <f t="shared" si="4"/>
        <v>87.217659999999995</v>
      </c>
      <c r="I44" s="37">
        <v>425.97333200000003</v>
      </c>
      <c r="J44" s="37">
        <v>493.40267899999998</v>
      </c>
      <c r="K44" s="37">
        <v>69.933903000000001</v>
      </c>
      <c r="L44" s="37">
        <v>0.12124</v>
      </c>
      <c r="M44" s="37">
        <v>3.8999079999999999</v>
      </c>
      <c r="N44" s="39">
        <f t="shared" si="5"/>
        <v>1.577836</v>
      </c>
      <c r="O44" s="37">
        <v>2.3220719999999999</v>
      </c>
      <c r="P44" s="40">
        <v>0</v>
      </c>
      <c r="Q44" s="40">
        <v>0</v>
      </c>
      <c r="R44" s="41">
        <f t="shared" si="6"/>
        <v>0</v>
      </c>
      <c r="S44" s="42">
        <v>11147</v>
      </c>
    </row>
    <row r="45" spans="2:19" ht="15.75" x14ac:dyDescent="0.25">
      <c r="B45" s="34">
        <f t="shared" si="7"/>
        <v>22</v>
      </c>
      <c r="C45" s="34" t="s">
        <v>93</v>
      </c>
      <c r="D45" s="47" t="s">
        <v>94</v>
      </c>
      <c r="E45" s="36">
        <v>43646</v>
      </c>
      <c r="F45" s="37">
        <v>300</v>
      </c>
      <c r="G45" s="38">
        <v>10</v>
      </c>
      <c r="H45" s="39">
        <f t="shared" si="4"/>
        <v>30</v>
      </c>
      <c r="I45" s="37">
        <v>312.10688800000003</v>
      </c>
      <c r="J45" s="37">
        <v>319.41830199999998</v>
      </c>
      <c r="K45" s="37">
        <v>29.393602000000001</v>
      </c>
      <c r="L45" s="37">
        <v>0.184415</v>
      </c>
      <c r="M45" s="37">
        <v>11.094811</v>
      </c>
      <c r="N45" s="39">
        <f t="shared" si="5"/>
        <v>0</v>
      </c>
      <c r="O45" s="37">
        <v>11.094811</v>
      </c>
      <c r="P45" s="40">
        <v>2.75</v>
      </c>
      <c r="Q45" s="40">
        <v>0</v>
      </c>
      <c r="R45" s="41">
        <f t="shared" ref="R45" si="8">SUM(P45:Q45)</f>
        <v>2.75</v>
      </c>
      <c r="S45" s="42">
        <v>1188</v>
      </c>
    </row>
    <row r="46" spans="2:19" ht="15.75" x14ac:dyDescent="0.25">
      <c r="B46" s="34">
        <f t="shared" si="7"/>
        <v>23</v>
      </c>
      <c r="C46" s="34" t="s">
        <v>95</v>
      </c>
      <c r="D46" s="47" t="s">
        <v>96</v>
      </c>
      <c r="E46" s="36">
        <v>43646</v>
      </c>
      <c r="F46" s="37">
        <v>100</v>
      </c>
      <c r="G46" s="38">
        <v>10</v>
      </c>
      <c r="H46" s="39">
        <f>+F46/G46</f>
        <v>10</v>
      </c>
      <c r="I46" s="37">
        <v>86.060748000000004</v>
      </c>
      <c r="J46" s="37">
        <v>120.570995</v>
      </c>
      <c r="K46" s="37">
        <v>5.5841519999999996</v>
      </c>
      <c r="L46" s="37">
        <v>0</v>
      </c>
      <c r="M46" s="37">
        <v>4.8540799999999997</v>
      </c>
      <c r="N46" s="39">
        <f>+M46-O46</f>
        <v>1.4979999999999549E-2</v>
      </c>
      <c r="O46" s="37">
        <v>4.8391000000000002</v>
      </c>
      <c r="P46" s="40">
        <v>3.48</v>
      </c>
      <c r="Q46" s="40">
        <v>0</v>
      </c>
      <c r="R46" s="41">
        <f>SUM(P46:Q46)</f>
        <v>3.48</v>
      </c>
      <c r="S46" s="42">
        <v>1007</v>
      </c>
    </row>
    <row r="47" spans="2:19" ht="15.75" x14ac:dyDescent="0.25">
      <c r="B47" s="34">
        <f t="shared" si="7"/>
        <v>24</v>
      </c>
      <c r="C47" s="34" t="s">
        <v>97</v>
      </c>
      <c r="D47" s="47" t="s">
        <v>98</v>
      </c>
      <c r="E47" s="36">
        <v>43646</v>
      </c>
      <c r="F47" s="37">
        <v>750</v>
      </c>
      <c r="G47" s="38">
        <v>10</v>
      </c>
      <c r="H47" s="39">
        <f>+F47/G47</f>
        <v>75</v>
      </c>
      <c r="I47" s="37">
        <v>872.48603800000001</v>
      </c>
      <c r="J47" s="37">
        <v>1607.3880979999999</v>
      </c>
      <c r="K47" s="37">
        <v>251.36365000000001</v>
      </c>
      <c r="L47" s="37">
        <v>49.178967</v>
      </c>
      <c r="M47" s="37">
        <v>102.734977</v>
      </c>
      <c r="N47" s="39">
        <f>+M47-O47</f>
        <v>0</v>
      </c>
      <c r="O47" s="37">
        <v>102.734977</v>
      </c>
      <c r="P47" s="40">
        <v>10</v>
      </c>
      <c r="Q47" s="40">
        <v>0</v>
      </c>
      <c r="R47" s="41">
        <f>SUM(P47:Q47)</f>
        <v>10</v>
      </c>
      <c r="S47" s="42">
        <v>755</v>
      </c>
    </row>
    <row r="48" spans="2:19" ht="15.75" x14ac:dyDescent="0.25">
      <c r="B48" s="34">
        <f t="shared" si="7"/>
        <v>25</v>
      </c>
      <c r="C48" s="34" t="s">
        <v>99</v>
      </c>
      <c r="D48" s="35" t="s">
        <v>100</v>
      </c>
      <c r="E48" s="36">
        <v>43646</v>
      </c>
      <c r="F48" s="37">
        <v>453.83530000000002</v>
      </c>
      <c r="G48" s="38">
        <v>10</v>
      </c>
      <c r="H48" s="39">
        <f t="shared" si="4"/>
        <v>45.38353</v>
      </c>
      <c r="I48" s="37">
        <v>1160.4754459999999</v>
      </c>
      <c r="J48" s="37">
        <v>6966.013121</v>
      </c>
      <c r="K48" s="37">
        <v>2099.4629460000001</v>
      </c>
      <c r="L48" s="37">
        <v>447.54518999999999</v>
      </c>
      <c r="M48" s="37">
        <v>126.056628</v>
      </c>
      <c r="N48" s="39">
        <f t="shared" si="5"/>
        <v>0</v>
      </c>
      <c r="O48" s="37">
        <v>126.056628</v>
      </c>
      <c r="P48" s="40">
        <v>25</v>
      </c>
      <c r="Q48" s="40">
        <v>0</v>
      </c>
      <c r="R48" s="41">
        <f t="shared" si="6"/>
        <v>25</v>
      </c>
      <c r="S48" s="42">
        <v>8565</v>
      </c>
    </row>
    <row r="49" spans="2:19" ht="15.75" x14ac:dyDescent="0.25">
      <c r="B49" s="34">
        <f t="shared" si="7"/>
        <v>26</v>
      </c>
      <c r="C49" s="34" t="s">
        <v>101</v>
      </c>
      <c r="D49" s="35" t="s">
        <v>102</v>
      </c>
      <c r="E49" s="36">
        <v>43646</v>
      </c>
      <c r="F49" s="37">
        <v>450</v>
      </c>
      <c r="G49" s="38">
        <v>10</v>
      </c>
      <c r="H49" s="39">
        <f t="shared" si="4"/>
        <v>45</v>
      </c>
      <c r="I49" s="37">
        <v>1063.0467619999999</v>
      </c>
      <c r="J49" s="37">
        <v>1639.272831</v>
      </c>
      <c r="K49" s="37">
        <v>125.59131600000001</v>
      </c>
      <c r="L49" s="37">
        <v>0</v>
      </c>
      <c r="M49" s="37">
        <v>81.153602000000006</v>
      </c>
      <c r="N49" s="39">
        <f t="shared" si="5"/>
        <v>0</v>
      </c>
      <c r="O49" s="37">
        <v>81.153602000000006</v>
      </c>
      <c r="P49" s="40">
        <v>13.5</v>
      </c>
      <c r="Q49" s="40">
        <v>0</v>
      </c>
      <c r="R49" s="41">
        <f t="shared" si="6"/>
        <v>13.5</v>
      </c>
      <c r="S49" s="42">
        <v>690</v>
      </c>
    </row>
    <row r="50" spans="2:19" ht="15.75" x14ac:dyDescent="0.25">
      <c r="B50" s="34">
        <f t="shared" si="7"/>
        <v>27</v>
      </c>
      <c r="C50" s="34" t="s">
        <v>103</v>
      </c>
      <c r="D50" s="35" t="s">
        <v>104</v>
      </c>
      <c r="E50" s="36">
        <v>43646</v>
      </c>
      <c r="F50" s="37">
        <v>298</v>
      </c>
      <c r="G50" s="38">
        <v>10</v>
      </c>
      <c r="H50" s="39">
        <f t="shared" si="4"/>
        <v>29.8</v>
      </c>
      <c r="I50" s="37">
        <v>303.87071700000001</v>
      </c>
      <c r="J50" s="37">
        <v>371.26910800000002</v>
      </c>
      <c r="K50" s="37">
        <v>33.607436</v>
      </c>
      <c r="L50" s="37">
        <v>0</v>
      </c>
      <c r="M50" s="37">
        <v>1.1980470000000001</v>
      </c>
      <c r="N50" s="39">
        <f t="shared" si="5"/>
        <v>0.16121000000000008</v>
      </c>
      <c r="O50" s="37">
        <v>1.036837</v>
      </c>
      <c r="P50" s="40">
        <v>0</v>
      </c>
      <c r="Q50" s="40">
        <v>0</v>
      </c>
      <c r="R50" s="41">
        <f t="shared" si="6"/>
        <v>0</v>
      </c>
      <c r="S50" s="42">
        <v>2525</v>
      </c>
    </row>
    <row r="52" spans="2:19" ht="15.75" x14ac:dyDescent="0.25">
      <c r="B52" s="29"/>
      <c r="C52" s="29"/>
      <c r="D52" s="29"/>
      <c r="E52" s="29"/>
      <c r="F52" s="29"/>
      <c r="G52" s="43"/>
      <c r="H52" s="44"/>
      <c r="I52" s="31"/>
      <c r="J52" s="31"/>
      <c r="K52" s="31"/>
      <c r="L52" s="31"/>
      <c r="M52" s="31"/>
      <c r="N52" s="45"/>
      <c r="O52" s="31"/>
      <c r="P52" s="31"/>
      <c r="Q52" s="31"/>
      <c r="R52" s="45"/>
      <c r="S52" s="31"/>
    </row>
    <row r="53" spans="2:19" ht="18.75" x14ac:dyDescent="0.3">
      <c r="B53" s="29"/>
      <c r="C53" s="29"/>
      <c r="D53" s="46" t="s">
        <v>43</v>
      </c>
      <c r="E53" s="29"/>
      <c r="F53" s="29"/>
      <c r="G53" s="43"/>
      <c r="H53" s="44"/>
      <c r="I53" s="31"/>
      <c r="J53" s="31"/>
      <c r="K53" s="31"/>
      <c r="L53" s="31"/>
      <c r="M53" s="31"/>
      <c r="N53" s="45"/>
      <c r="O53" s="31"/>
      <c r="P53" s="31"/>
      <c r="Q53" s="31"/>
      <c r="R53" s="45"/>
      <c r="S53" s="31"/>
    </row>
    <row r="54" spans="2:19" ht="15.75" x14ac:dyDescent="0.25">
      <c r="B54" s="34">
        <v>1</v>
      </c>
      <c r="C54" s="34" t="s">
        <v>105</v>
      </c>
      <c r="D54" s="35" t="s">
        <v>106</v>
      </c>
      <c r="E54" s="36">
        <v>43646</v>
      </c>
      <c r="F54" s="37"/>
      <c r="G54" s="38">
        <v>10</v>
      </c>
      <c r="H54" s="39">
        <f>+F54/G54</f>
        <v>0</v>
      </c>
      <c r="I54" s="37"/>
      <c r="J54" s="37"/>
      <c r="K54" s="37"/>
      <c r="L54" s="37"/>
      <c r="M54" s="37"/>
      <c r="N54" s="39">
        <f>+M54-O54</f>
        <v>0</v>
      </c>
      <c r="O54" s="37"/>
      <c r="P54" s="40"/>
      <c r="Q54" s="40"/>
      <c r="R54" s="41">
        <f>SUM(P54:Q54)</f>
        <v>0</v>
      </c>
      <c r="S54" s="42"/>
    </row>
    <row r="55" spans="2:19" ht="15.75" x14ac:dyDescent="0.25">
      <c r="B55" s="34">
        <f>+B54+1</f>
        <v>2</v>
      </c>
      <c r="C55" s="34" t="s">
        <v>107</v>
      </c>
      <c r="D55" s="35" t="s">
        <v>108</v>
      </c>
      <c r="E55" s="36">
        <v>43646</v>
      </c>
      <c r="F55" s="37">
        <v>250</v>
      </c>
      <c r="G55" s="38">
        <v>10</v>
      </c>
      <c r="H55" s="39">
        <f>+F55/G55</f>
        <v>25</v>
      </c>
      <c r="I55" s="37">
        <v>-22.110113999999999</v>
      </c>
      <c r="J55" s="37">
        <v>303.06810999999999</v>
      </c>
      <c r="K55" s="37">
        <v>22.260145000000001</v>
      </c>
      <c r="L55" s="37">
        <v>22.425017</v>
      </c>
      <c r="M55" s="37">
        <v>-35.716363999999999</v>
      </c>
      <c r="N55" s="39">
        <f>+M55-O55</f>
        <v>0</v>
      </c>
      <c r="O55" s="37">
        <v>-35.716363999999999</v>
      </c>
      <c r="P55" s="40">
        <v>0</v>
      </c>
      <c r="Q55" s="40">
        <v>0</v>
      </c>
      <c r="R55" s="41">
        <f>SUM(P55:Q55)</f>
        <v>0</v>
      </c>
      <c r="S55" s="42">
        <v>1065</v>
      </c>
    </row>
    <row r="56" spans="2:19" ht="15.75" x14ac:dyDescent="0.25">
      <c r="B56" s="34">
        <f>+B55+1</f>
        <v>3</v>
      </c>
      <c r="C56" s="34" t="s">
        <v>109</v>
      </c>
      <c r="D56" s="35" t="s">
        <v>110</v>
      </c>
      <c r="E56" s="36">
        <v>43646</v>
      </c>
      <c r="F56" s="37"/>
      <c r="G56" s="38">
        <v>10</v>
      </c>
      <c r="H56" s="39">
        <f>+F56/G56</f>
        <v>0</v>
      </c>
      <c r="I56" s="37"/>
      <c r="J56" s="37"/>
      <c r="K56" s="37"/>
      <c r="L56" s="37"/>
      <c r="M56" s="37"/>
      <c r="N56" s="39">
        <f>+M56-O56</f>
        <v>0</v>
      </c>
      <c r="O56" s="37"/>
      <c r="P56" s="40"/>
      <c r="Q56" s="40"/>
      <c r="R56" s="41">
        <f>SUM(P56:Q56)</f>
        <v>0</v>
      </c>
      <c r="S56" s="42"/>
    </row>
    <row r="57" spans="2:19" ht="15.75" x14ac:dyDescent="0.25">
      <c r="B57" s="29"/>
      <c r="C57" s="29"/>
      <c r="D57" s="29"/>
      <c r="E57" s="29"/>
      <c r="F57" s="29"/>
      <c r="G57" s="43"/>
      <c r="H57" s="44"/>
      <c r="I57" s="31"/>
      <c r="J57" s="31"/>
      <c r="K57" s="31"/>
      <c r="L57" s="31"/>
      <c r="M57" s="31"/>
      <c r="N57" s="45"/>
      <c r="O57" s="31"/>
      <c r="P57" s="31"/>
      <c r="Q57" s="31"/>
      <c r="R57" s="45"/>
      <c r="S57" s="31"/>
    </row>
    <row r="58" spans="2:19" s="55" customFormat="1" ht="15.75" x14ac:dyDescent="0.25">
      <c r="B58" s="34">
        <f>COUNT(B24:B57)</f>
        <v>30</v>
      </c>
      <c r="C58" s="34"/>
      <c r="D58" s="48"/>
      <c r="E58" s="48"/>
      <c r="F58" s="48">
        <f>SUM(F24:F57)</f>
        <v>13705.871109999998</v>
      </c>
      <c r="G58" s="49"/>
      <c r="H58" s="50">
        <f t="shared" ref="H58:O58" si="9">SUM(H24:H57)</f>
        <v>1471.387111</v>
      </c>
      <c r="I58" s="48">
        <f t="shared" si="9"/>
        <v>20976.613361000003</v>
      </c>
      <c r="J58" s="48">
        <f t="shared" si="9"/>
        <v>54096.519617000005</v>
      </c>
      <c r="K58" s="48">
        <f t="shared" si="9"/>
        <v>14008.591568999997</v>
      </c>
      <c r="L58" s="48">
        <f t="shared" si="9"/>
        <v>1893.5647929999998</v>
      </c>
      <c r="M58" s="48">
        <f t="shared" si="9"/>
        <v>-1217.5360189999992</v>
      </c>
      <c r="N58" s="51">
        <f t="shared" si="9"/>
        <v>39.36101339999999</v>
      </c>
      <c r="O58" s="48">
        <f t="shared" si="9"/>
        <v>-1256.8970324000002</v>
      </c>
      <c r="P58" s="52"/>
      <c r="Q58" s="52"/>
      <c r="R58" s="53"/>
      <c r="S58" s="54">
        <f>SUM(S24:S57)</f>
        <v>81034</v>
      </c>
    </row>
    <row r="59" spans="2:19" ht="15.75" x14ac:dyDescent="0.25">
      <c r="B59" s="29"/>
      <c r="C59" s="29"/>
      <c r="D59" s="29"/>
      <c r="E59" s="29"/>
      <c r="F59" s="29"/>
      <c r="G59" s="43"/>
      <c r="H59" s="44"/>
      <c r="I59" s="31"/>
      <c r="J59" s="31"/>
      <c r="K59" s="31"/>
      <c r="L59" s="31"/>
      <c r="M59" s="31"/>
      <c r="N59" s="45"/>
      <c r="O59" s="31"/>
      <c r="P59" s="31"/>
      <c r="Q59" s="31"/>
      <c r="R59" s="45"/>
      <c r="S59" s="31"/>
    </row>
    <row r="60" spans="2:19" ht="15.75" x14ac:dyDescent="0.25">
      <c r="B60" s="29"/>
      <c r="C60" s="29"/>
      <c r="D60" s="29"/>
      <c r="E60" s="29"/>
      <c r="F60" s="29"/>
      <c r="G60" s="43"/>
      <c r="H60" s="44"/>
      <c r="I60" s="31"/>
      <c r="J60" s="31"/>
      <c r="K60" s="31"/>
      <c r="L60" s="31"/>
      <c r="M60" s="31"/>
      <c r="N60" s="45"/>
      <c r="O60" s="31"/>
      <c r="P60" s="31"/>
      <c r="Q60" s="31"/>
      <c r="R60" s="45"/>
      <c r="S60" s="31"/>
    </row>
    <row r="61" spans="2:19" ht="18.75" x14ac:dyDescent="0.3">
      <c r="B61" s="29"/>
      <c r="C61" s="33">
        <v>3</v>
      </c>
      <c r="D61" s="33" t="s">
        <v>111</v>
      </c>
      <c r="E61" s="29"/>
      <c r="F61" s="29"/>
      <c r="G61" s="43"/>
      <c r="H61" s="44"/>
      <c r="I61" s="31"/>
      <c r="J61" s="31"/>
      <c r="K61" s="31"/>
      <c r="L61" s="31"/>
      <c r="M61" s="31"/>
      <c r="N61" s="45"/>
      <c r="O61" s="31"/>
      <c r="P61" s="31"/>
      <c r="Q61" s="31"/>
      <c r="R61" s="45"/>
      <c r="S61" s="31"/>
    </row>
    <row r="62" spans="2:19" ht="15.75" x14ac:dyDescent="0.25">
      <c r="B62" s="29"/>
      <c r="C62" s="29"/>
      <c r="D62" s="29"/>
      <c r="E62" s="29"/>
      <c r="F62" s="29"/>
      <c r="G62" s="43"/>
      <c r="H62" s="44"/>
      <c r="I62" s="31"/>
      <c r="J62" s="31"/>
      <c r="K62" s="31"/>
      <c r="L62" s="31"/>
      <c r="M62" s="31"/>
      <c r="N62" s="45"/>
      <c r="O62" s="31"/>
      <c r="P62" s="31"/>
      <c r="Q62" s="31"/>
      <c r="R62" s="45"/>
      <c r="S62" s="31"/>
    </row>
    <row r="63" spans="2:19" ht="15.75" x14ac:dyDescent="0.25">
      <c r="B63" s="34">
        <v>1</v>
      </c>
      <c r="C63" s="34" t="s">
        <v>112</v>
      </c>
      <c r="D63" s="35" t="s">
        <v>113</v>
      </c>
      <c r="E63" s="36">
        <v>43646</v>
      </c>
      <c r="F63" s="37">
        <v>215</v>
      </c>
      <c r="G63" s="38">
        <v>10</v>
      </c>
      <c r="H63" s="39">
        <f t="shared" ref="H63:H66" si="10">+F63/G63</f>
        <v>21.5</v>
      </c>
      <c r="I63" s="37">
        <v>67.466824000000003</v>
      </c>
      <c r="J63" s="37">
        <v>292.49371000000002</v>
      </c>
      <c r="K63" s="37">
        <v>14.927942</v>
      </c>
      <c r="L63" s="37">
        <v>2.7303250000000001</v>
      </c>
      <c r="M63" s="37">
        <v>-1.1938329999999999</v>
      </c>
      <c r="N63" s="39">
        <f t="shared" ref="N63:N66" si="11">+M63-O63</f>
        <v>0.66464600000000007</v>
      </c>
      <c r="O63" s="37">
        <v>-1.858479</v>
      </c>
      <c r="P63" s="40">
        <v>0</v>
      </c>
      <c r="Q63" s="40">
        <v>0</v>
      </c>
      <c r="R63" s="41">
        <f t="shared" ref="R63:R65" si="12">SUM(P63:Q63)</f>
        <v>0</v>
      </c>
      <c r="S63" s="42">
        <v>396</v>
      </c>
    </row>
    <row r="64" spans="2:19" ht="15.75" x14ac:dyDescent="0.25">
      <c r="B64" s="34">
        <f>+B63+1</f>
        <v>2</v>
      </c>
      <c r="C64" s="34" t="s">
        <v>114</v>
      </c>
      <c r="D64" s="35" t="s">
        <v>115</v>
      </c>
      <c r="E64" s="36">
        <v>43646</v>
      </c>
      <c r="F64" s="37">
        <v>1670.5490199999999</v>
      </c>
      <c r="G64" s="38">
        <v>10</v>
      </c>
      <c r="H64" s="39">
        <f t="shared" si="10"/>
        <v>167.054902</v>
      </c>
      <c r="I64" s="37">
        <v>8013.0887439999997</v>
      </c>
      <c r="J64" s="37">
        <v>25990.803908999998</v>
      </c>
      <c r="K64" s="37">
        <v>4179.8459650000004</v>
      </c>
      <c r="L64" s="37">
        <v>1542.315533</v>
      </c>
      <c r="M64" s="37">
        <v>1447.798732</v>
      </c>
      <c r="N64" s="39">
        <f t="shared" si="11"/>
        <v>425.28176899999994</v>
      </c>
      <c r="O64" s="37">
        <v>1022.516963</v>
      </c>
      <c r="P64" s="40">
        <v>37.5</v>
      </c>
      <c r="Q64" s="40">
        <v>0</v>
      </c>
      <c r="R64" s="41">
        <f t="shared" si="12"/>
        <v>37.5</v>
      </c>
      <c r="S64" s="42">
        <v>3671</v>
      </c>
    </row>
    <row r="65" spans="2:19" ht="15.75" x14ac:dyDescent="0.25">
      <c r="B65" s="34">
        <f t="shared" ref="B65:B66" si="13">+B64+1</f>
        <v>3</v>
      </c>
      <c r="C65" s="34" t="s">
        <v>116</v>
      </c>
      <c r="D65" s="35" t="s">
        <v>117</v>
      </c>
      <c r="E65" s="36">
        <v>43646</v>
      </c>
      <c r="F65" s="37">
        <v>253.69800000000001</v>
      </c>
      <c r="G65" s="38">
        <v>10</v>
      </c>
      <c r="H65" s="39">
        <f t="shared" si="10"/>
        <v>25.369800000000001</v>
      </c>
      <c r="I65" s="37">
        <v>758.64556800000003</v>
      </c>
      <c r="J65" s="37">
        <v>2661.7921369999999</v>
      </c>
      <c r="K65" s="37">
        <v>243.89204699999999</v>
      </c>
      <c r="L65" s="37">
        <v>78.012462999999997</v>
      </c>
      <c r="M65" s="37">
        <v>71.185355000000001</v>
      </c>
      <c r="N65" s="39">
        <f t="shared" si="11"/>
        <v>6.8072149999999993</v>
      </c>
      <c r="O65" s="37">
        <v>64.378140000000002</v>
      </c>
      <c r="P65" s="40">
        <v>7.5</v>
      </c>
      <c r="Q65" s="40">
        <v>0</v>
      </c>
      <c r="R65" s="41">
        <f t="shared" si="12"/>
        <v>7.5</v>
      </c>
      <c r="S65" s="42">
        <v>178</v>
      </c>
    </row>
    <row r="66" spans="2:19" ht="15.75" x14ac:dyDescent="0.25">
      <c r="B66" s="34">
        <f t="shared" si="13"/>
        <v>4</v>
      </c>
      <c r="C66" s="34" t="s">
        <v>118</v>
      </c>
      <c r="D66" s="35" t="s">
        <v>119</v>
      </c>
      <c r="E66" s="36">
        <v>43830</v>
      </c>
      <c r="F66" s="37">
        <v>320</v>
      </c>
      <c r="G66" s="38">
        <v>10</v>
      </c>
      <c r="H66" s="39">
        <f t="shared" si="10"/>
        <v>32</v>
      </c>
      <c r="I66" s="37"/>
      <c r="J66" s="37"/>
      <c r="K66" s="37"/>
      <c r="L66" s="37"/>
      <c r="M66" s="37">
        <v>-35.384</v>
      </c>
      <c r="N66" s="39">
        <f t="shared" si="11"/>
        <v>0.31000000000000227</v>
      </c>
      <c r="O66" s="37">
        <v>-35.694000000000003</v>
      </c>
      <c r="P66" s="40">
        <v>0</v>
      </c>
      <c r="Q66" s="40">
        <v>0</v>
      </c>
      <c r="R66" s="41">
        <f t="shared" ref="R66" si="14">SUM(P66:Q66)</f>
        <v>0</v>
      </c>
      <c r="S66" s="42"/>
    </row>
    <row r="67" spans="2:19" ht="15.75" x14ac:dyDescent="0.25">
      <c r="B67" s="29"/>
      <c r="C67" s="29"/>
      <c r="D67" s="29"/>
      <c r="E67" s="29"/>
      <c r="F67" s="29"/>
      <c r="G67" s="43"/>
      <c r="H67" s="44"/>
      <c r="I67" s="31"/>
      <c r="J67" s="31"/>
      <c r="K67" s="31"/>
      <c r="L67" s="31"/>
      <c r="M67" s="31"/>
      <c r="N67" s="45"/>
      <c r="O67" s="31"/>
      <c r="P67" s="31"/>
      <c r="Q67" s="31"/>
      <c r="R67" s="45"/>
      <c r="S67" s="31"/>
    </row>
    <row r="68" spans="2:19" ht="18.75" x14ac:dyDescent="0.3">
      <c r="B68" s="29"/>
      <c r="C68" s="29"/>
      <c r="D68" s="56" t="s">
        <v>43</v>
      </c>
      <c r="E68" s="29"/>
      <c r="F68" s="29"/>
      <c r="G68" s="43"/>
      <c r="H68" s="44"/>
      <c r="I68" s="31"/>
      <c r="J68" s="31"/>
      <c r="K68" s="31"/>
      <c r="L68" s="31"/>
      <c r="M68" s="31"/>
      <c r="N68" s="45"/>
      <c r="O68" s="31"/>
      <c r="P68" s="31"/>
      <c r="Q68" s="31"/>
      <c r="R68" s="45"/>
      <c r="S68" s="31"/>
    </row>
    <row r="69" spans="2:19" ht="16.5" customHeight="1" x14ac:dyDescent="0.25">
      <c r="B69" s="34">
        <v>1</v>
      </c>
      <c r="C69" s="34" t="s">
        <v>120</v>
      </c>
      <c r="D69" s="35" t="s">
        <v>121</v>
      </c>
      <c r="E69" s="36">
        <v>43646</v>
      </c>
      <c r="F69" s="37">
        <v>107.44413</v>
      </c>
      <c r="G69" s="38">
        <v>10</v>
      </c>
      <c r="H69" s="39">
        <f>+F69/G69</f>
        <v>10.744413</v>
      </c>
      <c r="I69" s="37">
        <v>243.01064700000001</v>
      </c>
      <c r="J69" s="37">
        <v>381.43383699999998</v>
      </c>
      <c r="K69" s="37">
        <v>58.646673999999997</v>
      </c>
      <c r="L69" s="37">
        <v>14.639994</v>
      </c>
      <c r="M69" s="37">
        <v>27.379283999999998</v>
      </c>
      <c r="N69" s="39">
        <f>+M69-O69</f>
        <v>7.2319099999999992</v>
      </c>
      <c r="O69" s="37">
        <v>20.147373999999999</v>
      </c>
      <c r="P69" s="40">
        <v>0</v>
      </c>
      <c r="Q69" s="40">
        <v>0</v>
      </c>
      <c r="R69" s="41">
        <f>SUM(P69:Q69)</f>
        <v>0</v>
      </c>
      <c r="S69" s="42">
        <v>780</v>
      </c>
    </row>
    <row r="70" spans="2:19" ht="15.75" x14ac:dyDescent="0.25">
      <c r="B70" s="34">
        <f>+B69+1</f>
        <v>2</v>
      </c>
      <c r="C70" s="34" t="s">
        <v>122</v>
      </c>
      <c r="D70" s="35" t="s">
        <v>123</v>
      </c>
      <c r="E70" s="36">
        <v>43646</v>
      </c>
      <c r="F70" s="37"/>
      <c r="G70" s="38">
        <v>10</v>
      </c>
      <c r="H70" s="39">
        <f>+F70/G70</f>
        <v>0</v>
      </c>
      <c r="I70" s="37"/>
      <c r="J70" s="37"/>
      <c r="K70" s="37"/>
      <c r="L70" s="37"/>
      <c r="M70" s="37"/>
      <c r="N70" s="39">
        <f>+M70-O70</f>
        <v>0</v>
      </c>
      <c r="O70" s="37"/>
      <c r="P70" s="40"/>
      <c r="Q70" s="40"/>
      <c r="R70" s="41">
        <f>SUM(P70:Q70)</f>
        <v>0</v>
      </c>
      <c r="S70" s="42"/>
    </row>
    <row r="71" spans="2:19" ht="15.75" x14ac:dyDescent="0.25">
      <c r="B71" s="34">
        <f t="shared" ref="B71:B73" si="15">+B70+1</f>
        <v>3</v>
      </c>
      <c r="C71" s="34" t="s">
        <v>124</v>
      </c>
      <c r="D71" s="35" t="s">
        <v>125</v>
      </c>
      <c r="E71" s="36">
        <v>43646</v>
      </c>
      <c r="F71" s="37"/>
      <c r="G71" s="38">
        <v>10</v>
      </c>
      <c r="H71" s="39">
        <f>+F71/G71</f>
        <v>0</v>
      </c>
      <c r="I71" s="37"/>
      <c r="J71" s="37"/>
      <c r="K71" s="37"/>
      <c r="L71" s="37"/>
      <c r="M71" s="37"/>
      <c r="N71" s="39">
        <f>+M71-O71</f>
        <v>0</v>
      </c>
      <c r="O71" s="37"/>
      <c r="P71" s="40"/>
      <c r="Q71" s="40"/>
      <c r="R71" s="41">
        <f>SUM(P71:Q71)</f>
        <v>0</v>
      </c>
      <c r="S71" s="42"/>
    </row>
    <row r="72" spans="2:19" ht="15.75" x14ac:dyDescent="0.25">
      <c r="B72" s="34">
        <f t="shared" si="15"/>
        <v>4</v>
      </c>
      <c r="C72" s="34" t="s">
        <v>126</v>
      </c>
      <c r="D72" s="35" t="s">
        <v>127</v>
      </c>
      <c r="E72" s="36">
        <v>43646</v>
      </c>
      <c r="F72" s="37">
        <v>363</v>
      </c>
      <c r="G72" s="38">
        <v>10</v>
      </c>
      <c r="H72" s="39">
        <f>+F72/G72</f>
        <v>36.299999999999997</v>
      </c>
      <c r="I72" s="37">
        <v>117.17211</v>
      </c>
      <c r="J72" s="37">
        <v>656.77484400000003</v>
      </c>
      <c r="K72" s="37">
        <v>9.5352440000000005</v>
      </c>
      <c r="L72" s="37">
        <v>1.2979210000000001</v>
      </c>
      <c r="M72" s="37">
        <v>-24.866247000000001</v>
      </c>
      <c r="N72" s="39">
        <f>+M72-O72</f>
        <v>2.7470399999999984</v>
      </c>
      <c r="O72" s="37">
        <v>-27.613287</v>
      </c>
      <c r="P72" s="40">
        <v>0</v>
      </c>
      <c r="Q72" s="40">
        <v>0</v>
      </c>
      <c r="R72" s="41">
        <f>SUM(P72:Q72)</f>
        <v>0</v>
      </c>
      <c r="S72" s="42">
        <v>379</v>
      </c>
    </row>
    <row r="73" spans="2:19" ht="15.75" x14ac:dyDescent="0.25">
      <c r="B73" s="34">
        <f t="shared" si="15"/>
        <v>5</v>
      </c>
      <c r="C73" s="34" t="s">
        <v>128</v>
      </c>
      <c r="D73" s="35" t="s">
        <v>129</v>
      </c>
      <c r="E73" s="36">
        <v>43646</v>
      </c>
      <c r="F73" s="37">
        <v>451.60500000000002</v>
      </c>
      <c r="G73" s="38">
        <v>10</v>
      </c>
      <c r="H73" s="39">
        <f>+F73/G73</f>
        <v>45.160499999999999</v>
      </c>
      <c r="I73" s="37">
        <v>-607.03242499999999</v>
      </c>
      <c r="J73" s="37">
        <v>743.78811499999995</v>
      </c>
      <c r="K73" s="37">
        <v>36.006346000000001</v>
      </c>
      <c r="L73" s="37">
        <v>43.443773</v>
      </c>
      <c r="M73" s="37">
        <v>12.345078000000001</v>
      </c>
      <c r="N73" s="39">
        <f>+M73-O73</f>
        <v>-14.820399999999999</v>
      </c>
      <c r="O73" s="37">
        <v>27.165478</v>
      </c>
      <c r="P73" s="40">
        <v>0</v>
      </c>
      <c r="Q73" s="40">
        <v>0</v>
      </c>
      <c r="R73" s="41">
        <f>SUM(P73:Q73)</f>
        <v>0</v>
      </c>
      <c r="S73" s="42">
        <v>1857</v>
      </c>
    </row>
    <row r="74" spans="2:19" ht="15.75" x14ac:dyDescent="0.25">
      <c r="B74" s="29"/>
      <c r="C74" s="29"/>
      <c r="D74" s="29"/>
      <c r="E74" s="29"/>
      <c r="F74" s="29"/>
      <c r="G74" s="43"/>
      <c r="H74" s="44"/>
      <c r="I74" s="31"/>
      <c r="J74" s="31"/>
      <c r="K74" s="31"/>
      <c r="L74" s="31"/>
      <c r="M74" s="31"/>
      <c r="N74" s="45"/>
      <c r="O74" s="31"/>
      <c r="P74" s="31"/>
      <c r="Q74" s="31"/>
      <c r="R74" s="45"/>
      <c r="S74" s="31"/>
    </row>
    <row r="75" spans="2:19" ht="15.75" x14ac:dyDescent="0.25">
      <c r="B75" s="34">
        <f>COUNT(B63:B74)</f>
        <v>9</v>
      </c>
      <c r="C75" s="34"/>
      <c r="D75" s="48"/>
      <c r="E75" s="48"/>
      <c r="F75" s="48">
        <f>SUM(F63:F74)</f>
        <v>3381.2961499999997</v>
      </c>
      <c r="G75" s="49"/>
      <c r="H75" s="50">
        <f t="shared" ref="H75:O75" si="16">SUM(H63:H74)</f>
        <v>338.129615</v>
      </c>
      <c r="I75" s="48">
        <f t="shared" si="16"/>
        <v>8592.3514679999989</v>
      </c>
      <c r="J75" s="48">
        <f t="shared" si="16"/>
        <v>30727.086551999997</v>
      </c>
      <c r="K75" s="48">
        <f t="shared" si="16"/>
        <v>4542.8542180000004</v>
      </c>
      <c r="L75" s="48">
        <f t="shared" si="16"/>
        <v>1682.4400089999999</v>
      </c>
      <c r="M75" s="48">
        <f t="shared" si="16"/>
        <v>1497.2643690000002</v>
      </c>
      <c r="N75" s="51">
        <f t="shared" si="16"/>
        <v>428.22217999999992</v>
      </c>
      <c r="O75" s="48">
        <f t="shared" si="16"/>
        <v>1069.042189</v>
      </c>
      <c r="P75" s="52"/>
      <c r="Q75" s="52"/>
      <c r="R75" s="53"/>
      <c r="S75" s="54">
        <f>SUM(S63:S74)</f>
        <v>7261</v>
      </c>
    </row>
    <row r="76" spans="2:19" ht="15.75" x14ac:dyDescent="0.25">
      <c r="B76" s="29"/>
      <c r="C76" s="29"/>
      <c r="D76" s="29"/>
      <c r="E76" s="29"/>
      <c r="F76" s="29"/>
      <c r="G76" s="43"/>
      <c r="H76" s="44"/>
      <c r="I76" s="31"/>
      <c r="J76" s="31"/>
      <c r="K76" s="31"/>
      <c r="L76" s="31"/>
      <c r="M76" s="31"/>
      <c r="N76" s="45"/>
      <c r="O76" s="31"/>
      <c r="P76" s="31"/>
      <c r="Q76" s="31"/>
      <c r="R76" s="45"/>
      <c r="S76" s="31"/>
    </row>
    <row r="77" spans="2:19" ht="15.75" x14ac:dyDescent="0.25">
      <c r="B77" s="29"/>
      <c r="C77" s="29"/>
      <c r="D77" s="29"/>
      <c r="E77" s="29"/>
      <c r="F77" s="29"/>
      <c r="G77" s="43"/>
      <c r="H77" s="44"/>
      <c r="I77" s="31"/>
      <c r="J77" s="31"/>
      <c r="K77" s="31"/>
      <c r="L77" s="31"/>
      <c r="M77" s="31"/>
      <c r="N77" s="45"/>
      <c r="O77" s="31"/>
      <c r="P77" s="31"/>
      <c r="Q77" s="31"/>
      <c r="R77" s="45"/>
      <c r="S77" s="31"/>
    </row>
    <row r="78" spans="2:19" ht="18.75" x14ac:dyDescent="0.3">
      <c r="B78" s="29"/>
      <c r="C78" s="33">
        <v>4</v>
      </c>
      <c r="D78" s="57" t="s">
        <v>130</v>
      </c>
      <c r="E78" s="58"/>
      <c r="F78" s="59"/>
      <c r="G78" s="43"/>
      <c r="H78" s="44"/>
      <c r="I78" s="31"/>
      <c r="J78" s="31"/>
      <c r="K78" s="31"/>
      <c r="L78" s="31"/>
      <c r="M78" s="31"/>
      <c r="N78" s="45"/>
      <c r="O78" s="31"/>
      <c r="P78" s="31"/>
      <c r="Q78" s="31"/>
      <c r="R78" s="45"/>
      <c r="S78" s="31"/>
    </row>
    <row r="79" spans="2:19" ht="15.75" x14ac:dyDescent="0.25">
      <c r="B79" s="29"/>
      <c r="C79" s="29"/>
      <c r="D79" s="29"/>
      <c r="E79" s="29"/>
      <c r="F79" s="29"/>
      <c r="G79" s="43"/>
      <c r="H79" s="44"/>
      <c r="I79" s="31"/>
      <c r="J79" s="31"/>
      <c r="K79" s="31"/>
      <c r="L79" s="31"/>
      <c r="M79" s="31"/>
      <c r="N79" s="45"/>
      <c r="O79" s="31"/>
      <c r="P79" s="31"/>
      <c r="Q79" s="31"/>
      <c r="R79" s="45"/>
      <c r="S79" s="31"/>
    </row>
    <row r="80" spans="2:19" ht="15.75" x14ac:dyDescent="0.25">
      <c r="B80" s="34">
        <v>1</v>
      </c>
      <c r="C80" s="34">
        <v>786</v>
      </c>
      <c r="D80" s="35" t="s">
        <v>131</v>
      </c>
      <c r="E80" s="36">
        <v>43646</v>
      </c>
      <c r="F80" s="37">
        <v>149.73750000000001</v>
      </c>
      <c r="G80" s="38">
        <v>10</v>
      </c>
      <c r="H80" s="39">
        <f t="shared" ref="H80:H102" si="17">+F80/G80</f>
        <v>14.973750000000001</v>
      </c>
      <c r="I80" s="37">
        <v>200.38459700000001</v>
      </c>
      <c r="J80" s="37">
        <v>219.06822</v>
      </c>
      <c r="K80" s="37">
        <v>-0.80421699999999996</v>
      </c>
      <c r="L80" s="37">
        <v>5.2199999999999998E-3</v>
      </c>
      <c r="M80" s="37">
        <v>-39.95711</v>
      </c>
      <c r="N80" s="39">
        <f t="shared" ref="N80:N102" si="18">+M80-O80</f>
        <v>3.250394</v>
      </c>
      <c r="O80" s="37">
        <v>-43.207504</v>
      </c>
      <c r="P80" s="40">
        <v>0</v>
      </c>
      <c r="Q80" s="40">
        <v>0</v>
      </c>
      <c r="R80" s="41">
        <f t="shared" ref="R80:R102" si="19">SUM(P80:Q80)</f>
        <v>0</v>
      </c>
      <c r="S80" s="42">
        <v>574</v>
      </c>
    </row>
    <row r="81" spans="2:19" ht="15.75" x14ac:dyDescent="0.25">
      <c r="B81" s="34">
        <f>+B80+1</f>
        <v>2</v>
      </c>
      <c r="C81" s="34" t="s">
        <v>132</v>
      </c>
      <c r="D81" s="35" t="s">
        <v>133</v>
      </c>
      <c r="E81" s="36">
        <v>43646</v>
      </c>
      <c r="F81" s="37">
        <v>660</v>
      </c>
      <c r="G81" s="38">
        <v>10</v>
      </c>
      <c r="H81" s="39">
        <f t="shared" si="17"/>
        <v>66</v>
      </c>
      <c r="I81" s="37">
        <v>2917.5671539999998</v>
      </c>
      <c r="J81" s="37">
        <v>5642.4568630000003</v>
      </c>
      <c r="K81" s="37">
        <v>633.92605600000002</v>
      </c>
      <c r="L81" s="37">
        <v>218.31362100000001</v>
      </c>
      <c r="M81" s="37">
        <v>12.281624000000001</v>
      </c>
      <c r="N81" s="39">
        <f t="shared" si="18"/>
        <v>74.742153000000002</v>
      </c>
      <c r="O81" s="37">
        <v>-62.460529000000001</v>
      </c>
      <c r="P81" s="40">
        <v>0</v>
      </c>
      <c r="Q81" s="40">
        <v>0</v>
      </c>
      <c r="R81" s="41">
        <f t="shared" si="19"/>
        <v>0</v>
      </c>
      <c r="S81" s="42">
        <v>3439</v>
      </c>
    </row>
    <row r="82" spans="2:19" ht="15.75" x14ac:dyDescent="0.25">
      <c r="B82" s="34">
        <f>+B81+1</f>
        <v>3</v>
      </c>
      <c r="C82" s="34" t="s">
        <v>134</v>
      </c>
      <c r="D82" s="35" t="s">
        <v>135</v>
      </c>
      <c r="E82" s="36">
        <v>43830</v>
      </c>
      <c r="F82" s="37">
        <v>3439.84962</v>
      </c>
      <c r="G82" s="38">
        <v>10</v>
      </c>
      <c r="H82" s="39">
        <f t="shared" si="17"/>
        <v>343.984962</v>
      </c>
      <c r="I82" s="37">
        <v>1871.966805</v>
      </c>
      <c r="J82" s="37">
        <v>20543.253526</v>
      </c>
      <c r="K82" s="37">
        <v>3389.0398839999998</v>
      </c>
      <c r="L82" s="37">
        <v>0</v>
      </c>
      <c r="M82" s="37">
        <v>89.344447000000002</v>
      </c>
      <c r="N82" s="39">
        <f t="shared" si="18"/>
        <v>35.819389000000001</v>
      </c>
      <c r="O82" s="37">
        <v>53.525058000000001</v>
      </c>
      <c r="P82" s="40">
        <v>0</v>
      </c>
      <c r="Q82" s="40">
        <v>0</v>
      </c>
      <c r="R82" s="41">
        <f t="shared" si="19"/>
        <v>0</v>
      </c>
      <c r="S82" s="42">
        <v>485</v>
      </c>
    </row>
    <row r="83" spans="2:19" ht="15.75" x14ac:dyDescent="0.25">
      <c r="B83" s="34">
        <f>+B82+1</f>
        <v>4</v>
      </c>
      <c r="C83" s="34" t="s">
        <v>136</v>
      </c>
      <c r="D83" s="35" t="s">
        <v>137</v>
      </c>
      <c r="E83" s="36">
        <v>43830</v>
      </c>
      <c r="F83" s="37">
        <v>1000</v>
      </c>
      <c r="G83" s="38">
        <v>10</v>
      </c>
      <c r="H83" s="39">
        <f t="shared" si="17"/>
        <v>100</v>
      </c>
      <c r="I83" s="37">
        <v>753.39499999999998</v>
      </c>
      <c r="J83" s="37">
        <v>1895.96</v>
      </c>
      <c r="K83" s="37">
        <f>322.362+1.786</f>
        <v>324.14800000000002</v>
      </c>
      <c r="L83" s="37">
        <v>26.521000000000001</v>
      </c>
      <c r="M83" s="37">
        <v>-14.875999999999999</v>
      </c>
      <c r="N83" s="39">
        <f t="shared" si="18"/>
        <v>-2.9349999999999987</v>
      </c>
      <c r="O83" s="37">
        <v>-11.941000000000001</v>
      </c>
      <c r="P83" s="40">
        <v>0</v>
      </c>
      <c r="Q83" s="40">
        <v>0</v>
      </c>
      <c r="R83" s="41">
        <f t="shared" si="19"/>
        <v>0</v>
      </c>
      <c r="S83" s="42">
        <v>4387</v>
      </c>
    </row>
    <row r="84" spans="2:19" ht="15.75" x14ac:dyDescent="0.25">
      <c r="B84" s="34">
        <f t="shared" ref="B84:B102" si="20">+B83+1</f>
        <v>5</v>
      </c>
      <c r="C84" s="34" t="s">
        <v>138</v>
      </c>
      <c r="D84" s="35" t="s">
        <v>139</v>
      </c>
      <c r="E84" s="36">
        <v>43830</v>
      </c>
      <c r="F84" s="37">
        <v>586.27700000000004</v>
      </c>
      <c r="G84" s="38">
        <v>10</v>
      </c>
      <c r="H84" s="39">
        <f t="shared" si="17"/>
        <v>58.627700000000004</v>
      </c>
      <c r="I84" s="37">
        <v>2116.33</v>
      </c>
      <c r="J84" s="37">
        <v>2521.7020000000002</v>
      </c>
      <c r="K84" s="37">
        <v>253.12700000000001</v>
      </c>
      <c r="L84" s="37">
        <v>11.462999999999999</v>
      </c>
      <c r="M84" s="37">
        <v>94.873000000000005</v>
      </c>
      <c r="N84" s="39">
        <f t="shared" si="18"/>
        <v>-3.0689999999999884</v>
      </c>
      <c r="O84" s="37">
        <v>97.941999999999993</v>
      </c>
      <c r="P84" s="40">
        <v>10</v>
      </c>
      <c r="Q84" s="40">
        <v>5</v>
      </c>
      <c r="R84" s="41">
        <f t="shared" si="19"/>
        <v>15</v>
      </c>
      <c r="S84" s="42">
        <v>1668</v>
      </c>
    </row>
    <row r="85" spans="2:19" ht="15.75" x14ac:dyDescent="0.25">
      <c r="B85" s="34">
        <f t="shared" si="20"/>
        <v>6</v>
      </c>
      <c r="C85" s="34" t="s">
        <v>140</v>
      </c>
      <c r="D85" s="35" t="s">
        <v>141</v>
      </c>
      <c r="E85" s="36">
        <v>43646</v>
      </c>
      <c r="F85" s="37">
        <v>249.965</v>
      </c>
      <c r="G85" s="38">
        <v>10</v>
      </c>
      <c r="H85" s="39">
        <f t="shared" si="17"/>
        <v>24.996500000000001</v>
      </c>
      <c r="I85" s="37">
        <v>224.04047</v>
      </c>
      <c r="J85" s="37">
        <v>237.045163</v>
      </c>
      <c r="K85" s="37">
        <v>25.333451</v>
      </c>
      <c r="L85" s="37">
        <v>0.114563</v>
      </c>
      <c r="M85" s="37">
        <v>5.6467640000000001</v>
      </c>
      <c r="N85" s="39">
        <f t="shared" si="18"/>
        <v>5.1672039999999999</v>
      </c>
      <c r="O85" s="37">
        <v>0.47955999999999999</v>
      </c>
      <c r="P85" s="40">
        <v>0</v>
      </c>
      <c r="Q85" s="40">
        <v>0</v>
      </c>
      <c r="R85" s="41">
        <f t="shared" si="19"/>
        <v>0</v>
      </c>
      <c r="S85" s="42">
        <v>3002</v>
      </c>
    </row>
    <row r="86" spans="2:19" ht="15.75" x14ac:dyDescent="0.25">
      <c r="B86" s="34">
        <f t="shared" si="20"/>
        <v>7</v>
      </c>
      <c r="C86" s="60" t="s">
        <v>142</v>
      </c>
      <c r="D86" s="35" t="s">
        <v>143</v>
      </c>
      <c r="E86" s="36">
        <v>43830</v>
      </c>
      <c r="F86" s="37">
        <v>4812.8710000000001</v>
      </c>
      <c r="G86" s="38">
        <v>10</v>
      </c>
      <c r="H86" s="39">
        <f>+F86/G86</f>
        <v>481.28710000000001</v>
      </c>
      <c r="I86" s="37">
        <v>31603.723000000002</v>
      </c>
      <c r="J86" s="37">
        <v>42257.68</v>
      </c>
      <c r="K86" s="37">
        <v>8378.2250000000004</v>
      </c>
      <c r="L86" s="37">
        <v>1425.28</v>
      </c>
      <c r="M86" s="37">
        <v>6093.7939999999999</v>
      </c>
      <c r="N86" s="39">
        <f>+M86-O86</f>
        <v>1272.0969999999998</v>
      </c>
      <c r="O86" s="37">
        <v>4821.6970000000001</v>
      </c>
      <c r="P86" s="40">
        <f>50+30+50</f>
        <v>130</v>
      </c>
      <c r="Q86" s="40">
        <v>0</v>
      </c>
      <c r="R86" s="41">
        <f>SUM(P86:Q86)</f>
        <v>130</v>
      </c>
      <c r="S86" s="42">
        <v>3520</v>
      </c>
    </row>
    <row r="87" spans="2:19" ht="15.75" x14ac:dyDescent="0.25">
      <c r="B87" s="34">
        <f t="shared" si="20"/>
        <v>8</v>
      </c>
      <c r="C87" s="34" t="s">
        <v>144</v>
      </c>
      <c r="D87" s="35" t="s">
        <v>145</v>
      </c>
      <c r="E87" s="36">
        <v>43830</v>
      </c>
      <c r="F87" s="37">
        <v>200.15649999999999</v>
      </c>
      <c r="G87" s="38">
        <v>10</v>
      </c>
      <c r="H87" s="39">
        <f t="shared" si="17"/>
        <v>20.015650000000001</v>
      </c>
      <c r="I87" s="37">
        <v>130.570694</v>
      </c>
      <c r="J87" s="37">
        <v>761.75919499999998</v>
      </c>
      <c r="K87" s="37">
        <v>174.68283600000001</v>
      </c>
      <c r="L87" s="37">
        <v>45.070822999999997</v>
      </c>
      <c r="M87" s="37">
        <v>-37.191496999999998</v>
      </c>
      <c r="N87" s="39">
        <f t="shared" si="18"/>
        <v>10.534379000000001</v>
      </c>
      <c r="O87" s="37">
        <v>-47.725876</v>
      </c>
      <c r="P87" s="40">
        <v>0</v>
      </c>
      <c r="Q87" s="40">
        <v>0</v>
      </c>
      <c r="R87" s="41">
        <f t="shared" si="19"/>
        <v>0</v>
      </c>
      <c r="S87" s="42">
        <v>2758</v>
      </c>
    </row>
    <row r="88" spans="2:19" ht="15.75" x14ac:dyDescent="0.25">
      <c r="B88" s="34">
        <f t="shared" si="20"/>
        <v>9</v>
      </c>
      <c r="C88" s="34" t="s">
        <v>146</v>
      </c>
      <c r="D88" s="35" t="s">
        <v>147</v>
      </c>
      <c r="E88" s="36">
        <v>43646</v>
      </c>
      <c r="F88" s="37">
        <v>1356</v>
      </c>
      <c r="G88" s="38">
        <v>10</v>
      </c>
      <c r="H88" s="39">
        <f t="shared" si="17"/>
        <v>135.6</v>
      </c>
      <c r="I88" s="37">
        <v>964.70278299999995</v>
      </c>
      <c r="J88" s="37">
        <v>1435.02441</v>
      </c>
      <c r="K88" s="37">
        <v>112.8</v>
      </c>
      <c r="L88" s="37">
        <v>0.135937</v>
      </c>
      <c r="M88" s="37">
        <v>-49.507612999999999</v>
      </c>
      <c r="N88" s="39">
        <f t="shared" si="18"/>
        <v>0.78883799999999837</v>
      </c>
      <c r="O88" s="37">
        <v>-50.296450999999998</v>
      </c>
      <c r="P88" s="40">
        <v>0</v>
      </c>
      <c r="Q88" s="40">
        <v>0</v>
      </c>
      <c r="R88" s="41">
        <f t="shared" si="19"/>
        <v>0</v>
      </c>
      <c r="S88" s="42">
        <v>1023</v>
      </c>
    </row>
    <row r="89" spans="2:19" ht="15.75" x14ac:dyDescent="0.25">
      <c r="B89" s="34">
        <f t="shared" si="20"/>
        <v>10</v>
      </c>
      <c r="C89" s="34" t="s">
        <v>148</v>
      </c>
      <c r="D89" s="35" t="s">
        <v>149</v>
      </c>
      <c r="E89" s="36">
        <v>43646</v>
      </c>
      <c r="F89" s="37">
        <v>650</v>
      </c>
      <c r="G89" s="38">
        <v>10</v>
      </c>
      <c r="H89" s="39">
        <f t="shared" si="17"/>
        <v>65</v>
      </c>
      <c r="I89" s="37">
        <v>718.59249699999998</v>
      </c>
      <c r="J89" s="37">
        <v>1385.300808</v>
      </c>
      <c r="K89" s="37">
        <v>116.84369100000001</v>
      </c>
      <c r="L89" s="37">
        <v>52.212850000000003</v>
      </c>
      <c r="M89" s="37">
        <v>15.202845999999999</v>
      </c>
      <c r="N89" s="39">
        <f t="shared" si="18"/>
        <v>5.6855469999999997</v>
      </c>
      <c r="O89" s="37">
        <v>9.5172989999999995</v>
      </c>
      <c r="P89" s="40">
        <v>3</v>
      </c>
      <c r="Q89" s="40">
        <v>0</v>
      </c>
      <c r="R89" s="41">
        <f t="shared" si="19"/>
        <v>3</v>
      </c>
      <c r="S89" s="42">
        <v>947</v>
      </c>
    </row>
    <row r="90" spans="2:19" ht="15.75" x14ac:dyDescent="0.25">
      <c r="B90" s="34">
        <f t="shared" si="20"/>
        <v>11</v>
      </c>
      <c r="C90" s="34" t="s">
        <v>150</v>
      </c>
      <c r="D90" s="35" t="s">
        <v>151</v>
      </c>
      <c r="E90" s="36">
        <v>43646</v>
      </c>
      <c r="F90" s="37">
        <v>3166.1011199999998</v>
      </c>
      <c r="G90" s="38">
        <v>10</v>
      </c>
      <c r="H90" s="39">
        <f t="shared" si="17"/>
        <v>316.61011199999996</v>
      </c>
      <c r="I90" s="37">
        <v>2137.714532</v>
      </c>
      <c r="J90" s="37">
        <v>3992.4293859999998</v>
      </c>
      <c r="K90" s="37">
        <v>-238.09802500000001</v>
      </c>
      <c r="L90" s="37">
        <v>175.32408100000001</v>
      </c>
      <c r="M90" s="37">
        <v>-459.08290399999998</v>
      </c>
      <c r="N90" s="39">
        <f t="shared" si="18"/>
        <v>-34.871906999999965</v>
      </c>
      <c r="O90" s="37">
        <v>-424.21099700000002</v>
      </c>
      <c r="P90" s="40">
        <v>0</v>
      </c>
      <c r="Q90" s="40">
        <v>0</v>
      </c>
      <c r="R90" s="41">
        <f t="shared" si="19"/>
        <v>0</v>
      </c>
      <c r="S90" s="42">
        <v>3958</v>
      </c>
    </row>
    <row r="91" spans="2:19" ht="15.75" x14ac:dyDescent="0.25">
      <c r="B91" s="34">
        <f t="shared" si="20"/>
        <v>12</v>
      </c>
      <c r="C91" s="34" t="s">
        <v>152</v>
      </c>
      <c r="D91" s="35" t="s">
        <v>153</v>
      </c>
      <c r="E91" s="36">
        <v>43646</v>
      </c>
      <c r="F91" s="37">
        <v>1483.90023</v>
      </c>
      <c r="G91" s="38">
        <v>10</v>
      </c>
      <c r="H91" s="39">
        <f t="shared" si="17"/>
        <v>148.39002299999999</v>
      </c>
      <c r="I91" s="37">
        <v>497.56653999999997</v>
      </c>
      <c r="J91" s="37">
        <v>995.64095999999995</v>
      </c>
      <c r="K91" s="37">
        <v>15.776249</v>
      </c>
      <c r="L91" s="37">
        <v>0</v>
      </c>
      <c r="M91" s="37">
        <v>11.882763000000001</v>
      </c>
      <c r="N91" s="39">
        <f t="shared" si="18"/>
        <v>9.8022349999999996</v>
      </c>
      <c r="O91" s="37">
        <v>2.0805280000000002</v>
      </c>
      <c r="P91" s="40">
        <v>0</v>
      </c>
      <c r="Q91" s="40">
        <v>0</v>
      </c>
      <c r="R91" s="41">
        <f t="shared" si="19"/>
        <v>0</v>
      </c>
      <c r="S91" s="42">
        <v>4377</v>
      </c>
    </row>
    <row r="92" spans="2:19" ht="15.75" x14ac:dyDescent="0.25">
      <c r="B92" s="34">
        <f t="shared" si="20"/>
        <v>13</v>
      </c>
      <c r="C92" s="34" t="s">
        <v>154</v>
      </c>
      <c r="D92" s="35" t="s">
        <v>155</v>
      </c>
      <c r="E92" s="36">
        <v>43646</v>
      </c>
      <c r="F92" s="37">
        <v>2672.8633100000002</v>
      </c>
      <c r="G92" s="38">
        <v>10</v>
      </c>
      <c r="H92" s="39">
        <f t="shared" si="17"/>
        <v>267.28633100000002</v>
      </c>
      <c r="I92" s="37">
        <v>884.38594599999999</v>
      </c>
      <c r="J92" s="37">
        <v>1562.3649989999999</v>
      </c>
      <c r="K92" s="37">
        <v>21.317506999999999</v>
      </c>
      <c r="L92" s="37">
        <v>50.110801000000002</v>
      </c>
      <c r="M92" s="37">
        <v>554.71908299999996</v>
      </c>
      <c r="N92" s="39">
        <f t="shared" si="18"/>
        <v>56.815203999999937</v>
      </c>
      <c r="O92" s="37">
        <v>497.90387900000002</v>
      </c>
      <c r="P92" s="40">
        <v>0</v>
      </c>
      <c r="Q92" s="40">
        <v>0</v>
      </c>
      <c r="R92" s="41">
        <f t="shared" si="19"/>
        <v>0</v>
      </c>
      <c r="S92" s="42">
        <v>909</v>
      </c>
    </row>
    <row r="93" spans="2:19" ht="15.75" x14ac:dyDescent="0.25">
      <c r="B93" s="34">
        <f t="shared" si="20"/>
        <v>14</v>
      </c>
      <c r="C93" s="34" t="s">
        <v>156</v>
      </c>
      <c r="D93" s="35" t="s">
        <v>157</v>
      </c>
      <c r="E93" s="36">
        <v>43646</v>
      </c>
      <c r="F93" s="37">
        <v>2848.66896</v>
      </c>
      <c r="G93" s="38">
        <v>10</v>
      </c>
      <c r="H93" s="39">
        <f t="shared" si="17"/>
        <v>284.866896</v>
      </c>
      <c r="I93" s="37">
        <v>256.27476100000001</v>
      </c>
      <c r="J93" s="37">
        <v>950.09822499999996</v>
      </c>
      <c r="K93" s="37">
        <v>72.217448000000005</v>
      </c>
      <c r="L93" s="37">
        <v>9.4194429999999993</v>
      </c>
      <c r="M93" s="37">
        <v>36.530810000000002</v>
      </c>
      <c r="N93" s="39">
        <f t="shared" si="18"/>
        <v>152.896693</v>
      </c>
      <c r="O93" s="37">
        <v>-116.365883</v>
      </c>
      <c r="P93" s="40">
        <v>0</v>
      </c>
      <c r="Q93" s="40">
        <v>0</v>
      </c>
      <c r="R93" s="41">
        <f t="shared" si="19"/>
        <v>0</v>
      </c>
      <c r="S93" s="42">
        <v>9473</v>
      </c>
    </row>
    <row r="94" spans="2:19" ht="15.75" x14ac:dyDescent="0.25">
      <c r="B94" s="34">
        <f t="shared" si="20"/>
        <v>15</v>
      </c>
      <c r="C94" s="34" t="s">
        <v>158</v>
      </c>
      <c r="D94" s="35" t="s">
        <v>159</v>
      </c>
      <c r="E94" s="36">
        <v>43830</v>
      </c>
      <c r="F94" s="37">
        <v>9159.4240000000009</v>
      </c>
      <c r="G94" s="38">
        <v>10</v>
      </c>
      <c r="H94" s="39">
        <f t="shared" si="17"/>
        <v>915.94240000000013</v>
      </c>
      <c r="I94" s="37">
        <v>25028.275000000001</v>
      </c>
      <c r="J94" s="37">
        <v>29446.847000000002</v>
      </c>
      <c r="K94" s="37">
        <v>1220.2809999999999</v>
      </c>
      <c r="L94" s="37">
        <v>577.1</v>
      </c>
      <c r="M94" s="37">
        <v>482.02300000000002</v>
      </c>
      <c r="N94" s="39">
        <f t="shared" si="18"/>
        <v>122.21300000000002</v>
      </c>
      <c r="O94" s="37">
        <v>359.81</v>
      </c>
      <c r="P94" s="40">
        <v>0</v>
      </c>
      <c r="Q94" s="40">
        <v>0</v>
      </c>
      <c r="R94" s="41">
        <f t="shared" si="19"/>
        <v>0</v>
      </c>
      <c r="S94" s="42">
        <v>7459</v>
      </c>
    </row>
    <row r="95" spans="2:19" ht="15.75" x14ac:dyDescent="0.25">
      <c r="B95" s="34">
        <f t="shared" si="20"/>
        <v>16</v>
      </c>
      <c r="C95" s="34" t="s">
        <v>160</v>
      </c>
      <c r="D95" s="35" t="s">
        <v>161</v>
      </c>
      <c r="E95" s="36">
        <v>43830</v>
      </c>
      <c r="F95" s="37">
        <v>305.57</v>
      </c>
      <c r="G95" s="38">
        <v>10</v>
      </c>
      <c r="H95" s="39">
        <f t="shared" si="17"/>
        <v>30.556999999999999</v>
      </c>
      <c r="I95" s="37">
        <v>2233.5525120000002</v>
      </c>
      <c r="J95" s="37">
        <v>4091.8545039999999</v>
      </c>
      <c r="K95" s="37">
        <v>718.54124400000001</v>
      </c>
      <c r="L95" s="37">
        <v>39.804907999999998</v>
      </c>
      <c r="M95" s="37">
        <v>107.28901999999999</v>
      </c>
      <c r="N95" s="39">
        <f t="shared" si="18"/>
        <v>60.040626999999994</v>
      </c>
      <c r="O95" s="37">
        <v>47.248393</v>
      </c>
      <c r="P95" s="40">
        <v>0</v>
      </c>
      <c r="Q95" s="40">
        <v>0</v>
      </c>
      <c r="R95" s="41">
        <f t="shared" si="19"/>
        <v>0</v>
      </c>
      <c r="S95" s="42">
        <v>924</v>
      </c>
    </row>
    <row r="96" spans="2:19" ht="15.75" x14ac:dyDescent="0.25">
      <c r="B96" s="34">
        <f t="shared" si="20"/>
        <v>17</v>
      </c>
      <c r="C96" s="34" t="s">
        <v>162</v>
      </c>
      <c r="D96" s="35" t="s">
        <v>163</v>
      </c>
      <c r="E96" s="36">
        <v>43830</v>
      </c>
      <c r="F96" s="37">
        <v>617.74256000000003</v>
      </c>
      <c r="G96" s="38">
        <v>10</v>
      </c>
      <c r="H96" s="39">
        <f t="shared" si="17"/>
        <v>61.774256000000001</v>
      </c>
      <c r="I96" s="37">
        <v>1814.787785</v>
      </c>
      <c r="J96" s="37">
        <v>2562.0252820000001</v>
      </c>
      <c r="K96" s="37">
        <v>408.53935300000001</v>
      </c>
      <c r="L96" s="37">
        <v>38.423471999999997</v>
      </c>
      <c r="M96" s="37">
        <v>-58.995173999999999</v>
      </c>
      <c r="N96" s="39">
        <f t="shared" si="18"/>
        <v>27.650040999999995</v>
      </c>
      <c r="O96" s="37">
        <v>-86.645214999999993</v>
      </c>
      <c r="P96" s="40">
        <f>40</f>
        <v>40</v>
      </c>
      <c r="Q96" s="40">
        <v>0</v>
      </c>
      <c r="R96" s="41">
        <f t="shared" si="19"/>
        <v>40</v>
      </c>
      <c r="S96" s="42">
        <v>1712</v>
      </c>
    </row>
    <row r="97" spans="2:19" ht="15.75" x14ac:dyDescent="0.25">
      <c r="B97" s="34">
        <f t="shared" si="20"/>
        <v>18</v>
      </c>
      <c r="C97" s="34" t="s">
        <v>164</v>
      </c>
      <c r="D97" s="35" t="s">
        <v>165</v>
      </c>
      <c r="E97" s="36">
        <v>43646</v>
      </c>
      <c r="F97" s="37">
        <v>720</v>
      </c>
      <c r="G97" s="38">
        <v>10</v>
      </c>
      <c r="H97" s="39">
        <f t="shared" si="17"/>
        <v>72</v>
      </c>
      <c r="I97" s="37">
        <v>1462.2263129999999</v>
      </c>
      <c r="J97" s="37">
        <v>2044.32331</v>
      </c>
      <c r="K97" s="37">
        <v>725.89384900000005</v>
      </c>
      <c r="L97" s="37">
        <v>4.3129569999999999</v>
      </c>
      <c r="M97" s="37">
        <v>85.165705000000003</v>
      </c>
      <c r="N97" s="39">
        <f t="shared" si="18"/>
        <v>60.930309000000001</v>
      </c>
      <c r="O97" s="37">
        <v>24.235396000000001</v>
      </c>
      <c r="P97" s="40">
        <v>13.5</v>
      </c>
      <c r="Q97" s="40">
        <v>0</v>
      </c>
      <c r="R97" s="41">
        <f t="shared" si="19"/>
        <v>13.5</v>
      </c>
      <c r="S97" s="42">
        <v>881</v>
      </c>
    </row>
    <row r="98" spans="2:19" ht="15.75" x14ac:dyDescent="0.25">
      <c r="B98" s="34">
        <f t="shared" si="20"/>
        <v>19</v>
      </c>
      <c r="C98" s="34" t="s">
        <v>166</v>
      </c>
      <c r="D98" s="35" t="s">
        <v>167</v>
      </c>
      <c r="E98" s="36">
        <v>43646</v>
      </c>
      <c r="F98" s="37">
        <v>450</v>
      </c>
      <c r="G98" s="38">
        <v>10</v>
      </c>
      <c r="H98" s="39">
        <f t="shared" si="17"/>
        <v>45</v>
      </c>
      <c r="I98" s="37">
        <v>395.05531200000001</v>
      </c>
      <c r="J98" s="37">
        <v>825.92274799999996</v>
      </c>
      <c r="K98" s="37">
        <v>214.41620599999999</v>
      </c>
      <c r="L98" s="37">
        <v>6.319</v>
      </c>
      <c r="M98" s="37">
        <v>15.724527999999999</v>
      </c>
      <c r="N98" s="39">
        <f t="shared" si="18"/>
        <v>10.417971999999999</v>
      </c>
      <c r="O98" s="37">
        <v>5.3065559999999996</v>
      </c>
      <c r="P98" s="40">
        <f>2.5</f>
        <v>2.5</v>
      </c>
      <c r="Q98" s="40">
        <v>0</v>
      </c>
      <c r="R98" s="41">
        <f t="shared" si="19"/>
        <v>2.5</v>
      </c>
      <c r="S98" s="42">
        <v>640</v>
      </c>
    </row>
    <row r="99" spans="2:19" ht="15.75" x14ac:dyDescent="0.25">
      <c r="B99" s="34">
        <f t="shared" si="20"/>
        <v>20</v>
      </c>
      <c r="C99" s="34" t="s">
        <v>168</v>
      </c>
      <c r="D99" s="35" t="s">
        <v>169</v>
      </c>
      <c r="E99" s="36">
        <v>43646</v>
      </c>
      <c r="F99" s="37">
        <v>1865.68487</v>
      </c>
      <c r="G99" s="38">
        <v>10</v>
      </c>
      <c r="H99" s="39">
        <f t="shared" si="17"/>
        <v>186.568487</v>
      </c>
      <c r="I99" s="37">
        <v>-557.33160699999996</v>
      </c>
      <c r="J99" s="37">
        <v>91.969140999999993</v>
      </c>
      <c r="K99" s="37">
        <v>0</v>
      </c>
      <c r="L99" s="37">
        <v>0</v>
      </c>
      <c r="M99" s="37">
        <v>-15.816557</v>
      </c>
      <c r="N99" s="39">
        <f t="shared" si="18"/>
        <v>0</v>
      </c>
      <c r="O99" s="37">
        <v>-15.816557</v>
      </c>
      <c r="P99" s="40">
        <v>0</v>
      </c>
      <c r="Q99" s="40">
        <v>0</v>
      </c>
      <c r="R99" s="41">
        <f t="shared" si="19"/>
        <v>0</v>
      </c>
      <c r="S99" s="42">
        <v>7351</v>
      </c>
    </row>
    <row r="100" spans="2:19" ht="15.75" x14ac:dyDescent="0.25">
      <c r="B100" s="34">
        <f t="shared" si="20"/>
        <v>21</v>
      </c>
      <c r="C100" s="34" t="s">
        <v>170</v>
      </c>
      <c r="D100" s="35" t="s">
        <v>171</v>
      </c>
      <c r="E100" s="36">
        <v>43646</v>
      </c>
      <c r="F100" s="37">
        <v>8014.7659999999996</v>
      </c>
      <c r="G100" s="38">
        <v>10</v>
      </c>
      <c r="H100" s="39">
        <f t="shared" si="17"/>
        <v>801.47659999999996</v>
      </c>
      <c r="I100" s="37">
        <v>8890.5429999999997</v>
      </c>
      <c r="J100" s="37">
        <v>10619.351000000001</v>
      </c>
      <c r="K100" s="37">
        <v>1279.904</v>
      </c>
      <c r="L100" s="37">
        <v>0</v>
      </c>
      <c r="M100" s="37">
        <v>92.248999999999995</v>
      </c>
      <c r="N100" s="39">
        <f t="shared" si="18"/>
        <v>4.0649999999999977</v>
      </c>
      <c r="O100" s="37">
        <v>88.183999999999997</v>
      </c>
      <c r="P100" s="40">
        <v>0</v>
      </c>
      <c r="Q100" s="40">
        <v>0</v>
      </c>
      <c r="R100" s="41">
        <f t="shared" si="19"/>
        <v>0</v>
      </c>
      <c r="S100" s="42">
        <v>2089</v>
      </c>
    </row>
    <row r="101" spans="2:19" ht="15.75" x14ac:dyDescent="0.25">
      <c r="B101" s="34">
        <f t="shared" si="20"/>
        <v>22</v>
      </c>
      <c r="C101" s="34" t="s">
        <v>172</v>
      </c>
      <c r="D101" s="35" t="s">
        <v>173</v>
      </c>
      <c r="E101" s="36">
        <v>43830</v>
      </c>
      <c r="F101" s="37">
        <v>514.33558000000005</v>
      </c>
      <c r="G101" s="38">
        <v>10</v>
      </c>
      <c r="H101" s="39">
        <f t="shared" si="17"/>
        <v>51.433558000000005</v>
      </c>
      <c r="I101" s="37">
        <v>638.68720299999995</v>
      </c>
      <c r="J101" s="37">
        <v>838.99561500000004</v>
      </c>
      <c r="K101" s="37">
        <v>73.218496000000002</v>
      </c>
      <c r="L101" s="37">
        <v>0</v>
      </c>
      <c r="M101" s="37">
        <v>50.671608999999997</v>
      </c>
      <c r="N101" s="39">
        <f t="shared" si="18"/>
        <v>11.163265999999993</v>
      </c>
      <c r="O101" s="37">
        <v>39.508343000000004</v>
      </c>
      <c r="P101" s="40">
        <v>0</v>
      </c>
      <c r="Q101" s="40">
        <v>0</v>
      </c>
      <c r="R101" s="41">
        <f t="shared" si="19"/>
        <v>0</v>
      </c>
      <c r="S101" s="42">
        <v>2090</v>
      </c>
    </row>
    <row r="102" spans="2:19" ht="15.75" x14ac:dyDescent="0.25">
      <c r="B102" s="34">
        <f t="shared" si="20"/>
        <v>23</v>
      </c>
      <c r="C102" s="34" t="s">
        <v>174</v>
      </c>
      <c r="D102" s="35" t="s">
        <v>175</v>
      </c>
      <c r="E102" s="36">
        <v>43646</v>
      </c>
      <c r="F102" s="37">
        <v>300</v>
      </c>
      <c r="G102" s="38">
        <v>10</v>
      </c>
      <c r="H102" s="39">
        <f t="shared" si="17"/>
        <v>30</v>
      </c>
      <c r="I102" s="37">
        <v>170.24030200000001</v>
      </c>
      <c r="J102" s="37">
        <v>242.949456</v>
      </c>
      <c r="K102" s="37">
        <v>48.426375</v>
      </c>
      <c r="L102" s="37">
        <v>1.1722729999999999</v>
      </c>
      <c r="M102" s="37">
        <v>-22.835336000000002</v>
      </c>
      <c r="N102" s="39">
        <f t="shared" si="18"/>
        <v>1.601111999999997</v>
      </c>
      <c r="O102" s="37">
        <v>-24.436447999999999</v>
      </c>
      <c r="P102" s="40">
        <v>0</v>
      </c>
      <c r="Q102" s="40">
        <v>0</v>
      </c>
      <c r="R102" s="41">
        <f t="shared" si="19"/>
        <v>0</v>
      </c>
      <c r="S102" s="42">
        <v>888</v>
      </c>
    </row>
    <row r="103" spans="2:19" ht="15.75" x14ac:dyDescent="0.25">
      <c r="B103" s="29"/>
      <c r="C103" s="29"/>
      <c r="D103" s="29"/>
      <c r="E103" s="29"/>
      <c r="F103" s="29"/>
      <c r="G103" s="43"/>
      <c r="H103" s="44"/>
      <c r="I103" s="31"/>
      <c r="J103" s="31"/>
      <c r="K103" s="31"/>
      <c r="L103" s="31"/>
      <c r="M103" s="31"/>
      <c r="N103" s="45"/>
      <c r="O103" s="31"/>
      <c r="P103" s="31"/>
      <c r="Q103" s="31"/>
      <c r="R103" s="45"/>
      <c r="S103" s="31"/>
    </row>
    <row r="104" spans="2:19" ht="18.75" x14ac:dyDescent="0.3">
      <c r="B104" s="29"/>
      <c r="C104" s="29"/>
      <c r="D104" s="56" t="s">
        <v>43</v>
      </c>
      <c r="E104" s="29"/>
      <c r="F104" s="29"/>
      <c r="G104" s="43"/>
      <c r="H104" s="44"/>
      <c r="I104" s="31"/>
      <c r="J104" s="31"/>
      <c r="K104" s="31"/>
      <c r="L104" s="31"/>
      <c r="M104" s="31"/>
      <c r="N104" s="45"/>
      <c r="O104" s="31"/>
      <c r="P104" s="31"/>
      <c r="Q104" s="31"/>
      <c r="R104" s="45"/>
      <c r="S104" s="31"/>
    </row>
    <row r="105" spans="2:19" ht="15.75" x14ac:dyDescent="0.25">
      <c r="B105" s="34">
        <v>1</v>
      </c>
      <c r="C105" s="34" t="s">
        <v>176</v>
      </c>
      <c r="D105" s="47" t="s">
        <v>177</v>
      </c>
      <c r="E105" s="36">
        <v>43646</v>
      </c>
      <c r="F105" s="37"/>
      <c r="G105" s="38">
        <v>10</v>
      </c>
      <c r="H105" s="39">
        <f t="shared" ref="H105:H109" si="21">+F105/G105</f>
        <v>0</v>
      </c>
      <c r="I105" s="37"/>
      <c r="J105" s="37"/>
      <c r="K105" s="37"/>
      <c r="L105" s="37"/>
      <c r="M105" s="37"/>
      <c r="N105" s="39">
        <f t="shared" ref="N105:N109" si="22">+M105-O105</f>
        <v>0</v>
      </c>
      <c r="O105" s="37"/>
      <c r="P105" s="40"/>
      <c r="Q105" s="40"/>
      <c r="R105" s="41">
        <f t="shared" ref="R105:R109" si="23">SUM(P105:Q105)</f>
        <v>0</v>
      </c>
      <c r="S105" s="42"/>
    </row>
    <row r="106" spans="2:19" ht="15.75" x14ac:dyDescent="0.25">
      <c r="B106" s="34">
        <f>+B105+1</f>
        <v>2</v>
      </c>
      <c r="C106" s="34" t="s">
        <v>178</v>
      </c>
      <c r="D106" s="35" t="s">
        <v>179</v>
      </c>
      <c r="E106" s="36">
        <v>43646</v>
      </c>
      <c r="F106" s="37">
        <v>1413.355</v>
      </c>
      <c r="G106" s="38">
        <v>10</v>
      </c>
      <c r="H106" s="39">
        <f>+F106/G106</f>
        <v>141.3355</v>
      </c>
      <c r="I106" s="37">
        <v>345.79832599999997</v>
      </c>
      <c r="J106" s="37">
        <v>1473.772324</v>
      </c>
      <c r="K106" s="37">
        <v>37.995680999999998</v>
      </c>
      <c r="L106" s="37">
        <v>40.873866999999997</v>
      </c>
      <c r="M106" s="37">
        <v>-66.235675999999998</v>
      </c>
      <c r="N106" s="39">
        <f>+M106-O106</f>
        <v>3.8043000000001825E-2</v>
      </c>
      <c r="O106" s="37">
        <v>-66.273719</v>
      </c>
      <c r="P106" s="40">
        <v>0</v>
      </c>
      <c r="Q106" s="40">
        <v>0</v>
      </c>
      <c r="R106" s="41">
        <f>SUM(P106:Q106)</f>
        <v>0</v>
      </c>
      <c r="S106" s="42">
        <v>295</v>
      </c>
    </row>
    <row r="107" spans="2:19" ht="15.75" x14ac:dyDescent="0.25">
      <c r="B107" s="34">
        <f>+B106+1</f>
        <v>3</v>
      </c>
      <c r="C107" s="34" t="s">
        <v>180</v>
      </c>
      <c r="D107" s="35" t="s">
        <v>181</v>
      </c>
      <c r="E107" s="36">
        <v>43646</v>
      </c>
      <c r="F107" s="37"/>
      <c r="G107" s="38">
        <v>10</v>
      </c>
      <c r="H107" s="39">
        <f>+F107/G107</f>
        <v>0</v>
      </c>
      <c r="I107" s="37"/>
      <c r="J107" s="37"/>
      <c r="K107" s="37"/>
      <c r="L107" s="37"/>
      <c r="M107" s="37"/>
      <c r="N107" s="39">
        <f>+M107-O107</f>
        <v>0</v>
      </c>
      <c r="O107" s="37"/>
      <c r="P107" s="40"/>
      <c r="Q107" s="40"/>
      <c r="R107" s="41">
        <f>SUM(P107:Q107)</f>
        <v>0</v>
      </c>
      <c r="S107" s="42"/>
    </row>
    <row r="108" spans="2:19" ht="15.75" x14ac:dyDescent="0.25">
      <c r="B108" s="34">
        <f>+B107+1</f>
        <v>4</v>
      </c>
      <c r="C108" s="34" t="s">
        <v>182</v>
      </c>
      <c r="D108" s="35" t="s">
        <v>183</v>
      </c>
      <c r="E108" s="36">
        <v>43646</v>
      </c>
      <c r="F108" s="37"/>
      <c r="G108" s="38">
        <v>10</v>
      </c>
      <c r="H108" s="39">
        <f t="shared" si="21"/>
        <v>0</v>
      </c>
      <c r="I108" s="37"/>
      <c r="J108" s="37"/>
      <c r="K108" s="37"/>
      <c r="L108" s="37"/>
      <c r="M108" s="37"/>
      <c r="N108" s="39">
        <f t="shared" si="22"/>
        <v>0</v>
      </c>
      <c r="O108" s="37"/>
      <c r="P108" s="40"/>
      <c r="Q108" s="40"/>
      <c r="R108" s="41">
        <f t="shared" si="23"/>
        <v>0</v>
      </c>
      <c r="S108" s="42"/>
    </row>
    <row r="109" spans="2:19" ht="15.75" x14ac:dyDescent="0.25">
      <c r="B109" s="34">
        <f t="shared" ref="B109:B110" si="24">+B108+1</f>
        <v>5</v>
      </c>
      <c r="C109" s="34" t="s">
        <v>184</v>
      </c>
      <c r="D109" s="35" t="s">
        <v>185</v>
      </c>
      <c r="E109" s="36">
        <v>43646</v>
      </c>
      <c r="F109" s="37"/>
      <c r="G109" s="38">
        <v>10</v>
      </c>
      <c r="H109" s="39">
        <f t="shared" si="21"/>
        <v>0</v>
      </c>
      <c r="I109" s="37"/>
      <c r="J109" s="37"/>
      <c r="K109" s="37"/>
      <c r="L109" s="37"/>
      <c r="M109" s="37"/>
      <c r="N109" s="39">
        <f t="shared" si="22"/>
        <v>0</v>
      </c>
      <c r="O109" s="37"/>
      <c r="P109" s="40"/>
      <c r="Q109" s="40"/>
      <c r="R109" s="41">
        <f t="shared" si="23"/>
        <v>0</v>
      </c>
      <c r="S109" s="42"/>
    </row>
    <row r="110" spans="2:19" ht="15.75" x14ac:dyDescent="0.25">
      <c r="B110" s="34">
        <f t="shared" si="24"/>
        <v>6</v>
      </c>
      <c r="C110" s="34" t="s">
        <v>186</v>
      </c>
      <c r="D110" s="35" t="s">
        <v>187</v>
      </c>
      <c r="E110" s="36">
        <v>43646</v>
      </c>
      <c r="F110" s="37"/>
      <c r="G110" s="38">
        <v>10</v>
      </c>
      <c r="H110" s="39">
        <f>+F110/G110</f>
        <v>0</v>
      </c>
      <c r="I110" s="37"/>
      <c r="J110" s="37"/>
      <c r="K110" s="37"/>
      <c r="L110" s="37"/>
      <c r="M110" s="37"/>
      <c r="N110" s="39">
        <f>+M110-O110</f>
        <v>0</v>
      </c>
      <c r="O110" s="37"/>
      <c r="P110" s="40"/>
      <c r="Q110" s="40"/>
      <c r="R110" s="41">
        <f>SUM(P110:Q110)</f>
        <v>0</v>
      </c>
      <c r="S110" s="42"/>
    </row>
    <row r="111" spans="2:19" ht="15.75" x14ac:dyDescent="0.25">
      <c r="B111" s="29"/>
      <c r="C111" s="29"/>
      <c r="D111" s="29"/>
      <c r="E111" s="29"/>
      <c r="F111" s="29"/>
      <c r="G111" s="43"/>
      <c r="H111" s="44"/>
      <c r="I111" s="31"/>
      <c r="J111" s="31"/>
      <c r="K111" s="31"/>
      <c r="L111" s="31"/>
      <c r="M111" s="31"/>
      <c r="N111" s="45"/>
      <c r="O111" s="31"/>
      <c r="P111" s="31"/>
      <c r="Q111" s="31"/>
      <c r="R111" s="45"/>
      <c r="S111" s="31"/>
    </row>
    <row r="112" spans="2:19" ht="15.75" x14ac:dyDescent="0.25">
      <c r="B112" s="34">
        <f>COUNT(B80:B111)</f>
        <v>29</v>
      </c>
      <c r="C112" s="34"/>
      <c r="D112" s="48"/>
      <c r="E112" s="48"/>
      <c r="F112" s="48">
        <f>SUM(F80:F111)</f>
        <v>46637.268250000001</v>
      </c>
      <c r="G112" s="49"/>
      <c r="H112" s="50">
        <f t="shared" ref="H112:O112" si="25">SUM(H80:H111)</f>
        <v>4663.7268249999997</v>
      </c>
      <c r="I112" s="48">
        <f t="shared" si="25"/>
        <v>85699.048924999996</v>
      </c>
      <c r="J112" s="48">
        <f t="shared" si="25"/>
        <v>136637.794135</v>
      </c>
      <c r="K112" s="48">
        <f t="shared" si="25"/>
        <v>18005.751084</v>
      </c>
      <c r="L112" s="48">
        <f t="shared" si="25"/>
        <v>2721.9778160000001</v>
      </c>
      <c r="M112" s="48">
        <f t="shared" si="25"/>
        <v>6982.9003320000002</v>
      </c>
      <c r="N112" s="51">
        <f t="shared" si="25"/>
        <v>1884.8424990000001</v>
      </c>
      <c r="O112" s="48">
        <f t="shared" si="25"/>
        <v>5098.0578330000008</v>
      </c>
      <c r="P112" s="52"/>
      <c r="Q112" s="52"/>
      <c r="R112" s="53"/>
      <c r="S112" s="54">
        <f>SUM(S80:S111)</f>
        <v>64849</v>
      </c>
    </row>
    <row r="113" spans="2:19" ht="15.75" x14ac:dyDescent="0.25">
      <c r="B113" s="29"/>
      <c r="C113" s="29"/>
      <c r="D113" s="29"/>
      <c r="E113" s="29"/>
      <c r="F113" s="29"/>
      <c r="G113" s="43"/>
      <c r="H113" s="44"/>
      <c r="I113" s="31"/>
      <c r="J113" s="31"/>
      <c r="K113" s="31"/>
      <c r="L113" s="31"/>
      <c r="M113" s="31"/>
      <c r="N113" s="45"/>
      <c r="O113" s="31"/>
      <c r="P113" s="31"/>
      <c r="Q113" s="31"/>
      <c r="R113" s="45"/>
      <c r="S113" s="31"/>
    </row>
    <row r="114" spans="2:19" ht="15.75" x14ac:dyDescent="0.25">
      <c r="B114" s="29"/>
      <c r="C114" s="29"/>
      <c r="D114" s="29"/>
      <c r="E114" s="29"/>
      <c r="F114" s="29"/>
      <c r="G114" s="43"/>
      <c r="H114" s="44"/>
      <c r="I114" s="31"/>
      <c r="J114" s="31"/>
      <c r="K114" s="31"/>
      <c r="L114" s="31"/>
      <c r="M114" s="31"/>
      <c r="N114" s="45"/>
      <c r="O114" s="31"/>
      <c r="P114" s="31"/>
      <c r="Q114" s="31"/>
      <c r="R114" s="45"/>
      <c r="S114" s="31"/>
    </row>
    <row r="115" spans="2:19" ht="18.75" x14ac:dyDescent="0.3">
      <c r="B115" s="29"/>
      <c r="C115" s="33">
        <v>5</v>
      </c>
      <c r="D115" s="33" t="s">
        <v>188</v>
      </c>
      <c r="E115" s="61"/>
      <c r="F115" s="61"/>
      <c r="G115" s="43"/>
      <c r="H115" s="44"/>
      <c r="I115" s="31"/>
      <c r="J115" s="31"/>
      <c r="K115" s="31"/>
      <c r="L115" s="31"/>
      <c r="M115" s="31"/>
      <c r="N115" s="45"/>
      <c r="O115" s="31"/>
      <c r="P115" s="31"/>
      <c r="Q115" s="31"/>
      <c r="R115" s="45"/>
      <c r="S115" s="31"/>
    </row>
    <row r="116" spans="2:19" ht="15.75" x14ac:dyDescent="0.25">
      <c r="B116" s="29"/>
      <c r="C116" s="29"/>
      <c r="D116" s="29"/>
      <c r="E116" s="29"/>
      <c r="F116" s="29"/>
      <c r="G116" s="43"/>
      <c r="H116" s="44"/>
      <c r="I116" s="31"/>
      <c r="J116" s="31"/>
      <c r="K116" s="31"/>
      <c r="L116" s="31"/>
      <c r="M116" s="31"/>
      <c r="N116" s="45"/>
      <c r="O116" s="31"/>
      <c r="P116" s="31"/>
      <c r="Q116" s="31"/>
      <c r="R116" s="45"/>
      <c r="S116" s="31"/>
    </row>
    <row r="117" spans="2:19" ht="15.75" x14ac:dyDescent="0.25">
      <c r="B117" s="60">
        <v>1</v>
      </c>
      <c r="C117" s="60" t="s">
        <v>189</v>
      </c>
      <c r="D117" s="35" t="s">
        <v>190</v>
      </c>
      <c r="E117" s="36">
        <v>43830</v>
      </c>
      <c r="F117" s="37">
        <v>11450.739</v>
      </c>
      <c r="G117" s="38">
        <v>10</v>
      </c>
      <c r="H117" s="39">
        <f t="shared" ref="H117:H136" si="26">+F117/G117</f>
        <v>1145.0738999999999</v>
      </c>
      <c r="I117" s="37">
        <v>115350.833</v>
      </c>
      <c r="J117" s="37">
        <v>1481121.2520000001</v>
      </c>
      <c r="K117" s="37">
        <v>133528.614</v>
      </c>
      <c r="L117" s="37">
        <v>0</v>
      </c>
      <c r="M117" s="37">
        <v>24241.638999999999</v>
      </c>
      <c r="N117" s="39">
        <f t="shared" ref="N117:N136" si="27">+M117-O117</f>
        <v>10128.727999999999</v>
      </c>
      <c r="O117" s="37">
        <v>14112.911</v>
      </c>
      <c r="P117" s="40">
        <f>20+20+20+20</f>
        <v>80</v>
      </c>
      <c r="Q117" s="40">
        <v>0</v>
      </c>
      <c r="R117" s="41">
        <f t="shared" ref="R117:R136" si="28">SUM(P117:Q117)</f>
        <v>80</v>
      </c>
      <c r="S117" s="42">
        <v>19301</v>
      </c>
    </row>
    <row r="118" spans="2:19" ht="15.75" x14ac:dyDescent="0.25">
      <c r="B118" s="60">
        <f>+B117+1</f>
        <v>2</v>
      </c>
      <c r="C118" s="34" t="s">
        <v>191</v>
      </c>
      <c r="D118" s="35" t="s">
        <v>192</v>
      </c>
      <c r="E118" s="36">
        <v>43830</v>
      </c>
      <c r="F118" s="37">
        <v>12602.602000000001</v>
      </c>
      <c r="G118" s="38">
        <v>10</v>
      </c>
      <c r="H118" s="39">
        <f t="shared" si="26"/>
        <v>1260.2602000000002</v>
      </c>
      <c r="I118" s="37">
        <v>42255.843999999997</v>
      </c>
      <c r="J118" s="37">
        <v>833208.00600000005</v>
      </c>
      <c r="K118" s="37">
        <v>79108.566000000006</v>
      </c>
      <c r="L118" s="37">
        <v>0</v>
      </c>
      <c r="M118" s="37">
        <v>10389.271000000001</v>
      </c>
      <c r="N118" s="39">
        <f t="shared" si="27"/>
        <v>3372.2490000000007</v>
      </c>
      <c r="O118" s="37">
        <v>7017.0219999999999</v>
      </c>
      <c r="P118" s="40">
        <v>15</v>
      </c>
      <c r="Q118" s="40">
        <v>0</v>
      </c>
      <c r="R118" s="41">
        <f t="shared" si="28"/>
        <v>15</v>
      </c>
      <c r="S118" s="42">
        <v>15291</v>
      </c>
    </row>
    <row r="119" spans="2:19" ht="15.75" x14ac:dyDescent="0.25">
      <c r="B119" s="60">
        <f t="shared" ref="B119:B136" si="29">+B118+1</f>
        <v>3</v>
      </c>
      <c r="C119" s="34" t="s">
        <v>193</v>
      </c>
      <c r="D119" s="35" t="s">
        <v>194</v>
      </c>
      <c r="E119" s="36">
        <v>43830</v>
      </c>
      <c r="F119" s="37">
        <v>17771.651000000002</v>
      </c>
      <c r="G119" s="38">
        <v>10</v>
      </c>
      <c r="H119" s="39">
        <f t="shared" si="26"/>
        <v>1777.1651000000002</v>
      </c>
      <c r="I119" s="37">
        <v>88027.576000000001</v>
      </c>
      <c r="J119" s="37">
        <v>1064672.085</v>
      </c>
      <c r="K119" s="37">
        <v>102876.408</v>
      </c>
      <c r="L119" s="37">
        <v>0</v>
      </c>
      <c r="M119" s="37">
        <v>22381.841</v>
      </c>
      <c r="N119" s="39">
        <f t="shared" si="27"/>
        <v>9686.3240000000005</v>
      </c>
      <c r="O119" s="37">
        <v>12695.517</v>
      </c>
      <c r="P119" s="40">
        <f>20+20</f>
        <v>40</v>
      </c>
      <c r="Q119" s="40">
        <v>0</v>
      </c>
      <c r="R119" s="41">
        <f t="shared" si="28"/>
        <v>40</v>
      </c>
      <c r="S119" s="42">
        <v>11479</v>
      </c>
    </row>
    <row r="120" spans="2:19" ht="15.75" x14ac:dyDescent="0.25">
      <c r="B120" s="60">
        <f t="shared" si="29"/>
        <v>4</v>
      </c>
      <c r="C120" s="34" t="s">
        <v>195</v>
      </c>
      <c r="D120" s="35" t="s">
        <v>196</v>
      </c>
      <c r="E120" s="36">
        <v>43830</v>
      </c>
      <c r="F120" s="37">
        <v>11114.254000000001</v>
      </c>
      <c r="G120" s="38">
        <v>10</v>
      </c>
      <c r="H120" s="39">
        <f t="shared" si="26"/>
        <v>1111.4254000000001</v>
      </c>
      <c r="I120" s="37">
        <v>61503.11</v>
      </c>
      <c r="J120" s="37">
        <v>1298682.111</v>
      </c>
      <c r="K120" s="37">
        <v>115082.59600000001</v>
      </c>
      <c r="L120" s="37">
        <v>0</v>
      </c>
      <c r="M120" s="37">
        <v>19010.994999999999</v>
      </c>
      <c r="N120" s="39">
        <f t="shared" si="27"/>
        <v>7842.2589999999982</v>
      </c>
      <c r="O120" s="37">
        <v>11168.736000000001</v>
      </c>
      <c r="P120" s="40">
        <v>35</v>
      </c>
      <c r="Q120" s="40">
        <v>0</v>
      </c>
      <c r="R120" s="41">
        <f t="shared" si="28"/>
        <v>35</v>
      </c>
      <c r="S120" s="42">
        <v>6442</v>
      </c>
    </row>
    <row r="121" spans="2:19" ht="15.75" x14ac:dyDescent="0.25">
      <c r="B121" s="60">
        <f t="shared" si="29"/>
        <v>5</v>
      </c>
      <c r="C121" s="34" t="s">
        <v>197</v>
      </c>
      <c r="D121" s="35" t="s">
        <v>198</v>
      </c>
      <c r="E121" s="36">
        <v>43830</v>
      </c>
      <c r="F121" s="37">
        <v>11007.991</v>
      </c>
      <c r="G121" s="38">
        <v>10</v>
      </c>
      <c r="H121" s="39">
        <f t="shared" si="26"/>
        <v>1100.7991</v>
      </c>
      <c r="I121" s="37">
        <v>19696.331999999999</v>
      </c>
      <c r="J121" s="37">
        <v>283096.49400000001</v>
      </c>
      <c r="K121" s="37">
        <v>25283.631000000001</v>
      </c>
      <c r="L121" s="37">
        <v>0</v>
      </c>
      <c r="M121" s="37">
        <v>1831.338</v>
      </c>
      <c r="N121" s="39">
        <f t="shared" si="27"/>
        <v>744</v>
      </c>
      <c r="O121" s="37">
        <v>1087.338</v>
      </c>
      <c r="P121" s="40">
        <v>0</v>
      </c>
      <c r="Q121" s="40">
        <v>0</v>
      </c>
      <c r="R121" s="41">
        <f t="shared" si="28"/>
        <v>0</v>
      </c>
      <c r="S121" s="42">
        <v>20649</v>
      </c>
    </row>
    <row r="122" spans="2:19" ht="15.75" x14ac:dyDescent="0.25">
      <c r="B122" s="60">
        <f t="shared" si="29"/>
        <v>6</v>
      </c>
      <c r="C122" s="34" t="s">
        <v>199</v>
      </c>
      <c r="D122" s="35" t="s">
        <v>200</v>
      </c>
      <c r="E122" s="36">
        <v>43830</v>
      </c>
      <c r="F122" s="37">
        <v>10002.523999999999</v>
      </c>
      <c r="G122" s="38">
        <v>10</v>
      </c>
      <c r="H122" s="39">
        <f t="shared" si="26"/>
        <v>1000.2524</v>
      </c>
      <c r="I122" s="37">
        <v>14201.352999999999</v>
      </c>
      <c r="J122" s="37">
        <v>306305.25199999998</v>
      </c>
      <c r="K122" s="37">
        <v>25769.017</v>
      </c>
      <c r="L122" s="37">
        <v>0</v>
      </c>
      <c r="M122" s="37">
        <v>2261.3110000000001</v>
      </c>
      <c r="N122" s="39">
        <f t="shared" si="27"/>
        <v>955.27200000000016</v>
      </c>
      <c r="O122" s="37">
        <v>1306.039</v>
      </c>
      <c r="P122" s="40">
        <v>5</v>
      </c>
      <c r="Q122" s="40">
        <v>0</v>
      </c>
      <c r="R122" s="41">
        <f t="shared" si="28"/>
        <v>5</v>
      </c>
      <c r="S122" s="42">
        <v>28442</v>
      </c>
    </row>
    <row r="123" spans="2:19" ht="15.75" x14ac:dyDescent="0.25">
      <c r="B123" s="60">
        <f t="shared" si="29"/>
        <v>7</v>
      </c>
      <c r="C123" s="34" t="s">
        <v>201</v>
      </c>
      <c r="D123" s="35" t="s">
        <v>202</v>
      </c>
      <c r="E123" s="36">
        <v>43830</v>
      </c>
      <c r="F123" s="37">
        <v>26436.922999999999</v>
      </c>
      <c r="G123" s="38">
        <v>10</v>
      </c>
      <c r="H123" s="39">
        <f t="shared" si="26"/>
        <v>2643.6922999999997</v>
      </c>
      <c r="I123" s="37">
        <v>46682.334000000003</v>
      </c>
      <c r="J123" s="37">
        <v>868927.78</v>
      </c>
      <c r="K123" s="37">
        <v>84806.459000000003</v>
      </c>
      <c r="L123" s="37">
        <v>0</v>
      </c>
      <c r="M123" s="37">
        <v>14043.887000000001</v>
      </c>
      <c r="N123" s="39">
        <f t="shared" si="27"/>
        <v>5795.3580000000002</v>
      </c>
      <c r="O123" s="37">
        <v>8248.5290000000005</v>
      </c>
      <c r="P123" s="40">
        <v>7.5</v>
      </c>
      <c r="Q123" s="40">
        <v>0</v>
      </c>
      <c r="R123" s="41">
        <f t="shared" si="28"/>
        <v>7.5</v>
      </c>
      <c r="S123" s="42">
        <v>17455</v>
      </c>
    </row>
    <row r="124" spans="2:19" ht="15.75" x14ac:dyDescent="0.25">
      <c r="B124" s="60">
        <f t="shared" si="29"/>
        <v>8</v>
      </c>
      <c r="C124" s="34" t="s">
        <v>203</v>
      </c>
      <c r="D124" s="35" t="s">
        <v>204</v>
      </c>
      <c r="E124" s="36">
        <v>43830</v>
      </c>
      <c r="F124" s="37">
        <v>15176.965</v>
      </c>
      <c r="G124" s="38">
        <v>10</v>
      </c>
      <c r="H124" s="39">
        <f t="shared" si="26"/>
        <v>1517.6965</v>
      </c>
      <c r="I124" s="37">
        <v>55263.873</v>
      </c>
      <c r="J124" s="37">
        <v>629852.65700000001</v>
      </c>
      <c r="K124" s="37">
        <v>65645.494999999995</v>
      </c>
      <c r="L124" s="37">
        <v>0</v>
      </c>
      <c r="M124" s="37">
        <v>10191.69</v>
      </c>
      <c r="N124" s="39">
        <f t="shared" si="27"/>
        <v>4151.0580000000009</v>
      </c>
      <c r="O124" s="37">
        <v>6040.6319999999996</v>
      </c>
      <c r="P124" s="40">
        <v>0</v>
      </c>
      <c r="Q124" s="40">
        <v>0</v>
      </c>
      <c r="R124" s="41">
        <f t="shared" si="28"/>
        <v>0</v>
      </c>
      <c r="S124" s="42">
        <v>16494</v>
      </c>
    </row>
    <row r="125" spans="2:19" ht="15.75" x14ac:dyDescent="0.25">
      <c r="B125" s="60">
        <f t="shared" si="29"/>
        <v>9</v>
      </c>
      <c r="C125" s="34" t="s">
        <v>205</v>
      </c>
      <c r="D125" s="35" t="s">
        <v>206</v>
      </c>
      <c r="E125" s="36">
        <v>43830</v>
      </c>
      <c r="F125" s="37">
        <v>14668.525</v>
      </c>
      <c r="G125" s="38">
        <v>10</v>
      </c>
      <c r="H125" s="39">
        <f t="shared" si="26"/>
        <v>1466.8525</v>
      </c>
      <c r="I125" s="37">
        <v>201421.946</v>
      </c>
      <c r="J125" s="37">
        <v>3053733.753</v>
      </c>
      <c r="K125" s="37">
        <v>265183.804</v>
      </c>
      <c r="L125" s="37">
        <v>0</v>
      </c>
      <c r="M125" s="37">
        <v>27098.713</v>
      </c>
      <c r="N125" s="39">
        <f t="shared" si="27"/>
        <v>12034.523999999999</v>
      </c>
      <c r="O125" s="37">
        <v>15064.189</v>
      </c>
      <c r="P125" s="40">
        <f>12.5+12.5+12.5+12.5</f>
        <v>50</v>
      </c>
      <c r="Q125" s="40">
        <v>0</v>
      </c>
      <c r="R125" s="41">
        <f t="shared" si="28"/>
        <v>50</v>
      </c>
      <c r="S125" s="42">
        <v>92391</v>
      </c>
    </row>
    <row r="126" spans="2:19" ht="15.75" x14ac:dyDescent="0.25">
      <c r="B126" s="60">
        <f t="shared" si="29"/>
        <v>10</v>
      </c>
      <c r="C126" s="34" t="s">
        <v>207</v>
      </c>
      <c r="D126" s="35" t="s">
        <v>208</v>
      </c>
      <c r="E126" s="36">
        <v>43830</v>
      </c>
      <c r="F126" s="37">
        <v>10478.315000000001</v>
      </c>
      <c r="G126" s="38">
        <v>10</v>
      </c>
      <c r="H126" s="39">
        <f t="shared" si="26"/>
        <v>1047.8315</v>
      </c>
      <c r="I126" s="37">
        <v>44237.53</v>
      </c>
      <c r="J126" s="37">
        <v>859574.522</v>
      </c>
      <c r="K126" s="37">
        <v>79553.429999999993</v>
      </c>
      <c r="L126" s="37">
        <v>0</v>
      </c>
      <c r="M126" s="37">
        <v>11237.870999999999</v>
      </c>
      <c r="N126" s="39">
        <f t="shared" si="27"/>
        <v>4654.3899999999994</v>
      </c>
      <c r="O126" s="37">
        <v>6583.4809999999998</v>
      </c>
      <c r="P126" s="40">
        <v>25</v>
      </c>
      <c r="Q126" s="40">
        <v>0</v>
      </c>
      <c r="R126" s="41">
        <f t="shared" si="28"/>
        <v>25</v>
      </c>
      <c r="S126" s="42">
        <v>2838</v>
      </c>
    </row>
    <row r="127" spans="2:19" ht="15.75" x14ac:dyDescent="0.25">
      <c r="B127" s="60">
        <f t="shared" si="29"/>
        <v>11</v>
      </c>
      <c r="C127" s="34" t="s">
        <v>209</v>
      </c>
      <c r="D127" s="35" t="s">
        <v>210</v>
      </c>
      <c r="E127" s="36">
        <v>43830</v>
      </c>
      <c r="F127" s="37">
        <v>10119.242</v>
      </c>
      <c r="G127" s="38">
        <v>10</v>
      </c>
      <c r="H127" s="39">
        <f t="shared" si="26"/>
        <v>1011.9242</v>
      </c>
      <c r="I127" s="37">
        <v>17333.255000000001</v>
      </c>
      <c r="J127" s="37">
        <v>469820.79</v>
      </c>
      <c r="K127" s="37">
        <v>45537.902999999998</v>
      </c>
      <c r="L127" s="37">
        <v>0</v>
      </c>
      <c r="M127" s="37">
        <v>133.07499999999999</v>
      </c>
      <c r="N127" s="39">
        <f t="shared" si="27"/>
        <v>108.422</v>
      </c>
      <c r="O127" s="37">
        <v>24.652999999999999</v>
      </c>
      <c r="P127" s="40">
        <v>0</v>
      </c>
      <c r="Q127" s="40">
        <v>0</v>
      </c>
      <c r="R127" s="41">
        <f t="shared" si="28"/>
        <v>0</v>
      </c>
      <c r="S127" s="42">
        <v>4098</v>
      </c>
    </row>
    <row r="128" spans="2:19" ht="15.75" x14ac:dyDescent="0.25">
      <c r="B128" s="60">
        <f t="shared" si="29"/>
        <v>12</v>
      </c>
      <c r="C128" s="34" t="s">
        <v>211</v>
      </c>
      <c r="D128" s="35" t="s">
        <v>212</v>
      </c>
      <c r="E128" s="36">
        <v>43830</v>
      </c>
      <c r="F128" s="37">
        <v>11850.6</v>
      </c>
      <c r="G128" s="38">
        <v>10</v>
      </c>
      <c r="H128" s="39">
        <f t="shared" si="26"/>
        <v>1185.06</v>
      </c>
      <c r="I128" s="37">
        <v>168914.783</v>
      </c>
      <c r="J128" s="37">
        <v>1515152.0149999999</v>
      </c>
      <c r="K128" s="37">
        <v>154970.84899999999</v>
      </c>
      <c r="L128" s="37">
        <v>0</v>
      </c>
      <c r="M128" s="37">
        <v>40102.311999999998</v>
      </c>
      <c r="N128" s="39">
        <f t="shared" si="27"/>
        <v>16125.472999999998</v>
      </c>
      <c r="O128" s="37">
        <v>23976.839</v>
      </c>
      <c r="P128" s="40">
        <f>40+40+40+50</f>
        <v>170</v>
      </c>
      <c r="Q128" s="40">
        <v>0</v>
      </c>
      <c r="R128" s="41">
        <f t="shared" si="28"/>
        <v>170</v>
      </c>
      <c r="S128" s="42">
        <v>56501</v>
      </c>
    </row>
    <row r="129" spans="2:19" ht="15.75" x14ac:dyDescent="0.25">
      <c r="B129" s="60">
        <f t="shared" si="29"/>
        <v>13</v>
      </c>
      <c r="C129" s="34" t="s">
        <v>213</v>
      </c>
      <c r="D129" s="35" t="s">
        <v>214</v>
      </c>
      <c r="E129" s="36">
        <v>43830</v>
      </c>
      <c r="F129" s="37">
        <v>12861.116</v>
      </c>
      <c r="G129" s="38">
        <v>10</v>
      </c>
      <c r="H129" s="39">
        <f t="shared" si="26"/>
        <v>1286.1116</v>
      </c>
      <c r="I129" s="37">
        <v>59015.411999999997</v>
      </c>
      <c r="J129" s="37">
        <v>1121258.254</v>
      </c>
      <c r="K129" s="37">
        <v>55859.567000000003</v>
      </c>
      <c r="L129" s="37">
        <v>0</v>
      </c>
      <c r="M129" s="37">
        <v>26150.679</v>
      </c>
      <c r="N129" s="39">
        <f t="shared" si="27"/>
        <v>10918.605</v>
      </c>
      <c r="O129" s="37">
        <v>15232.074000000001</v>
      </c>
      <c r="P129" s="40">
        <f>10+10+10+20</f>
        <v>50</v>
      </c>
      <c r="Q129" s="40">
        <f>10</f>
        <v>10</v>
      </c>
      <c r="R129" s="41">
        <f t="shared" si="28"/>
        <v>60</v>
      </c>
      <c r="S129" s="42">
        <v>2534</v>
      </c>
    </row>
    <row r="130" spans="2:19" ht="15.75" x14ac:dyDescent="0.25">
      <c r="B130" s="60">
        <f t="shared" si="29"/>
        <v>14</v>
      </c>
      <c r="C130" s="34" t="s">
        <v>215</v>
      </c>
      <c r="D130" s="35" t="s">
        <v>216</v>
      </c>
      <c r="E130" s="36">
        <v>43830</v>
      </c>
      <c r="F130" s="37">
        <v>21275.131000000001</v>
      </c>
      <c r="G130" s="38">
        <v>10</v>
      </c>
      <c r="H130" s="39">
        <f t="shared" si="26"/>
        <v>2127.5131000000001</v>
      </c>
      <c r="I130" s="37">
        <v>232613.83300000001</v>
      </c>
      <c r="J130" s="37">
        <v>3124388.87</v>
      </c>
      <c r="K130" s="37">
        <v>275676.80099999998</v>
      </c>
      <c r="L130" s="37">
        <v>0</v>
      </c>
      <c r="M130" s="37">
        <v>28003.366999999998</v>
      </c>
      <c r="N130" s="39">
        <f t="shared" si="27"/>
        <v>12193.555999999999</v>
      </c>
      <c r="O130" s="37">
        <v>15809.811</v>
      </c>
      <c r="P130" s="40">
        <v>0</v>
      </c>
      <c r="Q130" s="40">
        <v>0</v>
      </c>
      <c r="R130" s="41">
        <f t="shared" si="28"/>
        <v>0</v>
      </c>
      <c r="S130" s="42">
        <v>12190</v>
      </c>
    </row>
    <row r="131" spans="2:19" ht="15.75" x14ac:dyDescent="0.25">
      <c r="B131" s="60">
        <f t="shared" si="29"/>
        <v>15</v>
      </c>
      <c r="C131" s="34" t="s">
        <v>217</v>
      </c>
      <c r="D131" s="35" t="s">
        <v>218</v>
      </c>
      <c r="E131" s="36">
        <v>43830</v>
      </c>
      <c r="F131" s="37">
        <v>10082.387000000001</v>
      </c>
      <c r="G131" s="38">
        <v>10</v>
      </c>
      <c r="H131" s="39">
        <f t="shared" si="26"/>
        <v>1008.2387000000001</v>
      </c>
      <c r="I131" s="37">
        <v>14179.486999999999</v>
      </c>
      <c r="J131" s="37">
        <v>129577.40700000001</v>
      </c>
      <c r="K131" s="37">
        <v>13637.48</v>
      </c>
      <c r="L131" s="37">
        <v>0</v>
      </c>
      <c r="M131" s="37">
        <v>1100.1489999999999</v>
      </c>
      <c r="N131" s="39">
        <f t="shared" si="27"/>
        <v>413.69099999999992</v>
      </c>
      <c r="O131" s="37">
        <v>686.45799999999997</v>
      </c>
      <c r="P131" s="40">
        <v>0</v>
      </c>
      <c r="Q131" s="40">
        <v>0</v>
      </c>
      <c r="R131" s="41">
        <f t="shared" si="28"/>
        <v>0</v>
      </c>
      <c r="S131" s="42">
        <v>5204</v>
      </c>
    </row>
    <row r="132" spans="2:19" ht="15.75" x14ac:dyDescent="0.25">
      <c r="B132" s="60">
        <f t="shared" si="29"/>
        <v>16</v>
      </c>
      <c r="C132" s="34" t="s">
        <v>219</v>
      </c>
      <c r="D132" s="35" t="s">
        <v>220</v>
      </c>
      <c r="E132" s="36">
        <v>43830</v>
      </c>
      <c r="F132" s="37">
        <v>38715.85</v>
      </c>
      <c r="G132" s="38">
        <v>10</v>
      </c>
      <c r="H132" s="39">
        <f t="shared" si="26"/>
        <v>3871.585</v>
      </c>
      <c r="I132" s="37">
        <v>72916.502999999997</v>
      </c>
      <c r="J132" s="37">
        <v>619970.58499999996</v>
      </c>
      <c r="K132" s="37">
        <v>63129.928</v>
      </c>
      <c r="L132" s="37">
        <v>0</v>
      </c>
      <c r="M132" s="37">
        <v>27199.203000000001</v>
      </c>
      <c r="N132" s="39">
        <f t="shared" si="27"/>
        <v>11181.756000000001</v>
      </c>
      <c r="O132" s="37">
        <v>16017.447</v>
      </c>
      <c r="P132" s="40">
        <f>12.5+17.5</f>
        <v>30</v>
      </c>
      <c r="Q132" s="40">
        <v>0</v>
      </c>
      <c r="R132" s="41">
        <f t="shared" si="28"/>
        <v>30</v>
      </c>
      <c r="S132" s="42">
        <v>7158</v>
      </c>
    </row>
    <row r="133" spans="2:19" ht="15.75" x14ac:dyDescent="0.25">
      <c r="B133" s="60">
        <f t="shared" si="29"/>
        <v>17</v>
      </c>
      <c r="C133" s="34" t="s">
        <v>221</v>
      </c>
      <c r="D133" s="35" t="s">
        <v>222</v>
      </c>
      <c r="E133" s="36">
        <v>43830</v>
      </c>
      <c r="F133" s="37">
        <v>90818.611999999994</v>
      </c>
      <c r="G133" s="38">
        <v>10</v>
      </c>
      <c r="H133" s="39">
        <f t="shared" si="26"/>
        <v>9081.8611999999994</v>
      </c>
      <c r="I133" s="37"/>
      <c r="J133" s="37"/>
      <c r="K133" s="37"/>
      <c r="L133" s="37"/>
      <c r="M133" s="37">
        <v>-5828.9430000000002</v>
      </c>
      <c r="N133" s="39">
        <f t="shared" si="27"/>
        <v>-1875.94</v>
      </c>
      <c r="O133" s="37">
        <v>-3953.0030000000002</v>
      </c>
      <c r="P133" s="40">
        <v>0</v>
      </c>
      <c r="Q133" s="40">
        <v>0</v>
      </c>
      <c r="R133" s="41">
        <f t="shared" si="28"/>
        <v>0</v>
      </c>
      <c r="S133" s="42"/>
    </row>
    <row r="134" spans="2:19" ht="15.75" x14ac:dyDescent="0.25">
      <c r="B134" s="60">
        <f t="shared" si="29"/>
        <v>18</v>
      </c>
      <c r="C134" s="34" t="s">
        <v>223</v>
      </c>
      <c r="D134" s="35" t="s">
        <v>224</v>
      </c>
      <c r="E134" s="36">
        <v>43830</v>
      </c>
      <c r="F134" s="37">
        <v>26381.51</v>
      </c>
      <c r="G134" s="38">
        <v>10</v>
      </c>
      <c r="H134" s="39">
        <f t="shared" si="26"/>
        <v>2638.1509999999998</v>
      </c>
      <c r="I134" s="37">
        <v>-5598.223</v>
      </c>
      <c r="J134" s="37">
        <v>105875.538</v>
      </c>
      <c r="K134" s="37">
        <f>5909.299+1231.979</f>
        <v>7141.2780000000002</v>
      </c>
      <c r="L134" s="37">
        <v>0</v>
      </c>
      <c r="M134" s="37">
        <v>-14270.298000000001</v>
      </c>
      <c r="N134" s="39">
        <f t="shared" si="27"/>
        <v>-4819.6790000000001</v>
      </c>
      <c r="O134" s="37">
        <v>-9450.6190000000006</v>
      </c>
      <c r="P134" s="40">
        <v>0</v>
      </c>
      <c r="Q134" s="40">
        <v>0</v>
      </c>
      <c r="R134" s="41">
        <f t="shared" si="28"/>
        <v>0</v>
      </c>
      <c r="S134" s="42">
        <v>43399</v>
      </c>
    </row>
    <row r="135" spans="2:19" ht="15.75" x14ac:dyDescent="0.25">
      <c r="B135" s="60">
        <f t="shared" si="29"/>
        <v>19</v>
      </c>
      <c r="C135" s="34" t="s">
        <v>225</v>
      </c>
      <c r="D135" s="35" t="s">
        <v>226</v>
      </c>
      <c r="E135" s="36">
        <v>43830</v>
      </c>
      <c r="F135" s="37">
        <v>11024.636</v>
      </c>
      <c r="G135" s="38">
        <v>10</v>
      </c>
      <c r="H135" s="39">
        <f t="shared" si="26"/>
        <v>1102.4636</v>
      </c>
      <c r="I135" s="37">
        <v>20213.595000000001</v>
      </c>
      <c r="J135" s="37">
        <v>442540.78200000001</v>
      </c>
      <c r="K135" s="37">
        <v>41651.574999999997</v>
      </c>
      <c r="L135" s="37">
        <v>0</v>
      </c>
      <c r="M135" s="37">
        <v>3246.7460000000001</v>
      </c>
      <c r="N135" s="39">
        <f t="shared" si="27"/>
        <v>1340.7220000000002</v>
      </c>
      <c r="O135" s="37">
        <v>1906.0239999999999</v>
      </c>
      <c r="P135" s="40">
        <v>10</v>
      </c>
      <c r="Q135" s="40">
        <v>0</v>
      </c>
      <c r="R135" s="41">
        <f t="shared" si="28"/>
        <v>10</v>
      </c>
      <c r="S135" s="42">
        <v>7752</v>
      </c>
    </row>
    <row r="136" spans="2:19" ht="15.75" x14ac:dyDescent="0.25">
      <c r="B136" s="60">
        <f t="shared" si="29"/>
        <v>20</v>
      </c>
      <c r="C136" s="34" t="s">
        <v>227</v>
      </c>
      <c r="D136" s="35" t="s">
        <v>228</v>
      </c>
      <c r="E136" s="36">
        <v>43830</v>
      </c>
      <c r="F136" s="37">
        <v>12241.798000000001</v>
      </c>
      <c r="G136" s="38">
        <v>10</v>
      </c>
      <c r="H136" s="39">
        <f t="shared" si="26"/>
        <v>1224.1798000000001</v>
      </c>
      <c r="I136" s="37">
        <v>169068.883</v>
      </c>
      <c r="J136" s="37">
        <v>1893694.7069999999</v>
      </c>
      <c r="K136" s="37">
        <v>175352.69500000001</v>
      </c>
      <c r="L136" s="37">
        <v>0</v>
      </c>
      <c r="M136" s="37">
        <v>34241.868999999999</v>
      </c>
      <c r="N136" s="39">
        <f t="shared" si="27"/>
        <v>15108.094999999998</v>
      </c>
      <c r="O136" s="37">
        <v>19133.774000000001</v>
      </c>
      <c r="P136" s="40">
        <f>25+25+30+40</f>
        <v>120</v>
      </c>
      <c r="Q136" s="40">
        <v>0</v>
      </c>
      <c r="R136" s="41">
        <f t="shared" si="28"/>
        <v>120</v>
      </c>
      <c r="S136" s="42">
        <v>21650</v>
      </c>
    </row>
    <row r="137" spans="2:19" ht="15.75" x14ac:dyDescent="0.25">
      <c r="B137" s="29"/>
      <c r="C137" s="29"/>
      <c r="D137" s="29"/>
      <c r="E137" s="29"/>
      <c r="F137" s="29"/>
      <c r="G137" s="43"/>
      <c r="H137" s="44"/>
      <c r="I137" s="31"/>
      <c r="J137" s="31"/>
      <c r="K137" s="31"/>
      <c r="L137" s="31"/>
      <c r="M137" s="31"/>
      <c r="N137" s="45"/>
      <c r="O137" s="31"/>
      <c r="P137" s="31"/>
      <c r="Q137" s="31"/>
      <c r="R137" s="45"/>
      <c r="S137" s="31"/>
    </row>
    <row r="138" spans="2:19" ht="15.75" x14ac:dyDescent="0.25">
      <c r="B138" s="34">
        <f>COUNT(B117:B137)</f>
        <v>20</v>
      </c>
      <c r="C138" s="34"/>
      <c r="D138" s="48"/>
      <c r="E138" s="48"/>
      <c r="F138" s="48">
        <f>SUM(F117:F137)</f>
        <v>386081.37099999998</v>
      </c>
      <c r="G138" s="49"/>
      <c r="H138" s="50">
        <f t="shared" ref="H138:O138" si="30">SUM(H117:H137)</f>
        <v>38608.1371</v>
      </c>
      <c r="I138" s="48">
        <f t="shared" si="30"/>
        <v>1437298.2590000001</v>
      </c>
      <c r="J138" s="48">
        <f t="shared" si="30"/>
        <v>20101452.860000003</v>
      </c>
      <c r="K138" s="48">
        <f t="shared" si="30"/>
        <v>1809796.0960000001</v>
      </c>
      <c r="L138" s="48">
        <f t="shared" si="30"/>
        <v>0</v>
      </c>
      <c r="M138" s="48">
        <f t="shared" si="30"/>
        <v>282766.71500000003</v>
      </c>
      <c r="N138" s="51">
        <f t="shared" si="30"/>
        <v>120058.863</v>
      </c>
      <c r="O138" s="48">
        <f t="shared" si="30"/>
        <v>162707.85199999998</v>
      </c>
      <c r="P138" s="52"/>
      <c r="Q138" s="52"/>
      <c r="R138" s="53"/>
      <c r="S138" s="54">
        <f>SUM(S117:S137)</f>
        <v>391268</v>
      </c>
    </row>
    <row r="139" spans="2:19" ht="15.75" x14ac:dyDescent="0.25">
      <c r="B139" s="29"/>
      <c r="C139" s="29"/>
      <c r="D139" s="29"/>
      <c r="E139" s="29"/>
      <c r="F139" s="29"/>
      <c r="G139" s="43"/>
      <c r="H139" s="44"/>
      <c r="I139" s="31"/>
      <c r="J139" s="31"/>
      <c r="K139" s="31"/>
      <c r="L139" s="31"/>
      <c r="M139" s="31"/>
      <c r="N139" s="45"/>
      <c r="O139" s="31"/>
      <c r="P139" s="31"/>
      <c r="Q139" s="31"/>
      <c r="R139" s="45"/>
      <c r="S139" s="31"/>
    </row>
    <row r="140" spans="2:19" ht="15.75" x14ac:dyDescent="0.25">
      <c r="B140" s="29"/>
      <c r="C140" s="29"/>
      <c r="D140" s="29"/>
      <c r="E140" s="29"/>
      <c r="F140" s="29"/>
      <c r="G140" s="43"/>
      <c r="H140" s="44"/>
      <c r="I140" s="31"/>
      <c r="J140" s="31"/>
      <c r="K140" s="31"/>
      <c r="L140" s="31"/>
      <c r="M140" s="31"/>
      <c r="N140" s="45"/>
      <c r="O140" s="31"/>
      <c r="P140" s="31"/>
      <c r="Q140" s="31"/>
      <c r="R140" s="45"/>
      <c r="S140" s="31"/>
    </row>
    <row r="141" spans="2:19" ht="18.75" x14ac:dyDescent="0.3">
      <c r="B141" s="29"/>
      <c r="C141" s="33">
        <v>6</v>
      </c>
      <c r="D141" s="33" t="s">
        <v>229</v>
      </c>
      <c r="E141" s="61"/>
      <c r="F141" s="61"/>
      <c r="G141" s="43"/>
      <c r="H141" s="44"/>
      <c r="I141" s="31"/>
      <c r="J141" s="31"/>
      <c r="K141" s="31"/>
      <c r="L141" s="31"/>
      <c r="M141" s="31"/>
      <c r="N141" s="45"/>
      <c r="O141" s="31"/>
      <c r="P141" s="31"/>
      <c r="Q141" s="31"/>
      <c r="R141" s="45"/>
      <c r="S141" s="31"/>
    </row>
    <row r="142" spans="2:19" ht="15.75" x14ac:dyDescent="0.25">
      <c r="B142" s="29"/>
      <c r="C142" s="29"/>
      <c r="D142" s="29"/>
      <c r="E142" s="29"/>
      <c r="F142" s="29"/>
      <c r="G142" s="43"/>
      <c r="H142" s="44"/>
      <c r="I142" s="31"/>
      <c r="J142" s="31"/>
      <c r="K142" s="31"/>
      <c r="L142" s="31"/>
      <c r="M142" s="31"/>
      <c r="N142" s="45"/>
      <c r="O142" s="31"/>
      <c r="P142" s="31"/>
      <c r="Q142" s="31"/>
      <c r="R142" s="45"/>
      <c r="S142" s="31"/>
    </row>
    <row r="143" spans="2:19" ht="15.75" x14ac:dyDescent="0.25">
      <c r="B143" s="34">
        <v>1</v>
      </c>
      <c r="C143" s="34" t="s">
        <v>230</v>
      </c>
      <c r="D143" s="35" t="s">
        <v>231</v>
      </c>
      <c r="E143" s="36">
        <v>43830</v>
      </c>
      <c r="F143" s="37">
        <v>719.01900000000001</v>
      </c>
      <c r="G143" s="38">
        <v>10</v>
      </c>
      <c r="H143" s="39">
        <f t="shared" ref="H143:H164" si="31">+F143/G143</f>
        <v>71.901899999999998</v>
      </c>
      <c r="I143" s="37">
        <v>1966.3789999999999</v>
      </c>
      <c r="J143" s="37">
        <v>5431.3980000000001</v>
      </c>
      <c r="K143" s="37">
        <v>2262.1460000000002</v>
      </c>
      <c r="L143" s="37">
        <v>0</v>
      </c>
      <c r="M143" s="37">
        <v>509.464</v>
      </c>
      <c r="N143" s="39">
        <f t="shared" ref="N143:N164" si="32">+M143-O143</f>
        <v>147.62599999999998</v>
      </c>
      <c r="O143" s="37">
        <v>361.83800000000002</v>
      </c>
      <c r="P143" s="40">
        <v>25</v>
      </c>
      <c r="Q143" s="40">
        <v>0</v>
      </c>
      <c r="R143" s="41">
        <f t="shared" ref="R143:R164" si="33">SUM(P143:Q143)</f>
        <v>25</v>
      </c>
      <c r="S143" s="42">
        <v>1765</v>
      </c>
    </row>
    <row r="144" spans="2:19" ht="15.75" x14ac:dyDescent="0.25">
      <c r="B144" s="34">
        <f>+B143+1</f>
        <v>2</v>
      </c>
      <c r="C144" s="34" t="s">
        <v>232</v>
      </c>
      <c r="D144" s="35" t="s">
        <v>233</v>
      </c>
      <c r="E144" s="36">
        <v>43830</v>
      </c>
      <c r="F144" s="37">
        <v>3500</v>
      </c>
      <c r="G144" s="38">
        <v>10</v>
      </c>
      <c r="H144" s="39">
        <f t="shared" si="31"/>
        <v>350</v>
      </c>
      <c r="I144" s="37">
        <v>21380.491999999998</v>
      </c>
      <c r="J144" s="37">
        <v>49538.262000000002</v>
      </c>
      <c r="K144" s="37">
        <v>16917.251</v>
      </c>
      <c r="L144" s="37">
        <v>8.3520000000000003</v>
      </c>
      <c r="M144" s="37">
        <v>2532.9940000000001</v>
      </c>
      <c r="N144" s="39">
        <f t="shared" si="32"/>
        <v>720.01900000000023</v>
      </c>
      <c r="O144" s="37">
        <v>1812.9749999999999</v>
      </c>
      <c r="P144" s="40">
        <f>10+15</f>
        <v>25</v>
      </c>
      <c r="Q144" s="40">
        <v>0</v>
      </c>
      <c r="R144" s="41">
        <f t="shared" si="33"/>
        <v>25</v>
      </c>
      <c r="S144" s="42">
        <v>4995</v>
      </c>
    </row>
    <row r="145" spans="2:19" ht="15.75" x14ac:dyDescent="0.25">
      <c r="B145" s="34">
        <f t="shared" ref="B145:B164" si="34">+B144+1</f>
        <v>3</v>
      </c>
      <c r="C145" s="34" t="s">
        <v>234</v>
      </c>
      <c r="D145" s="35" t="s">
        <v>235</v>
      </c>
      <c r="E145" s="36">
        <v>43830</v>
      </c>
      <c r="F145" s="37">
        <v>603.37391000000002</v>
      </c>
      <c r="G145" s="38">
        <v>10</v>
      </c>
      <c r="H145" s="39">
        <f t="shared" si="31"/>
        <v>60.337391000000004</v>
      </c>
      <c r="I145" s="37">
        <v>975.82692899999995</v>
      </c>
      <c r="J145" s="37">
        <v>1603.9799459999999</v>
      </c>
      <c r="K145" s="37">
        <v>517.34795399999996</v>
      </c>
      <c r="L145" s="37">
        <v>15.902673</v>
      </c>
      <c r="M145" s="37">
        <v>4.4741809999999997</v>
      </c>
      <c r="N145" s="39">
        <f t="shared" si="32"/>
        <v>-1.7151630000000004</v>
      </c>
      <c r="O145" s="37">
        <v>6.1893440000000002</v>
      </c>
      <c r="P145" s="40">
        <v>0</v>
      </c>
      <c r="Q145" s="40">
        <v>0</v>
      </c>
      <c r="R145" s="41">
        <f t="shared" si="33"/>
        <v>0</v>
      </c>
      <c r="S145" s="42">
        <v>91</v>
      </c>
    </row>
    <row r="146" spans="2:19" ht="15.75" x14ac:dyDescent="0.25">
      <c r="B146" s="34">
        <f t="shared" si="34"/>
        <v>4</v>
      </c>
      <c r="C146" s="34" t="s">
        <v>236</v>
      </c>
      <c r="D146" s="35" t="s">
        <v>237</v>
      </c>
      <c r="E146" s="36">
        <v>43830</v>
      </c>
      <c r="F146" s="37">
        <v>771.77499999999998</v>
      </c>
      <c r="G146" s="38">
        <v>10</v>
      </c>
      <c r="H146" s="39">
        <f t="shared" si="31"/>
        <v>77.177499999999995</v>
      </c>
      <c r="I146" s="37">
        <v>3706.74</v>
      </c>
      <c r="J146" s="37">
        <v>7034.12</v>
      </c>
      <c r="K146" s="37">
        <v>2329.768</v>
      </c>
      <c r="L146" s="37">
        <v>3.944</v>
      </c>
      <c r="M146" s="37">
        <v>895.24099999999999</v>
      </c>
      <c r="N146" s="39">
        <f t="shared" si="32"/>
        <v>271.98500000000001</v>
      </c>
      <c r="O146" s="37">
        <v>623.25599999999997</v>
      </c>
      <c r="P146" s="40">
        <v>70</v>
      </c>
      <c r="Q146" s="40">
        <v>10</v>
      </c>
      <c r="R146" s="41">
        <f t="shared" si="33"/>
        <v>80</v>
      </c>
      <c r="S146" s="42">
        <v>1111</v>
      </c>
    </row>
    <row r="147" spans="2:19" ht="15.75" x14ac:dyDescent="0.25">
      <c r="B147" s="34">
        <f t="shared" si="34"/>
        <v>5</v>
      </c>
      <c r="C147" s="34" t="s">
        <v>238</v>
      </c>
      <c r="D147" s="35" t="s">
        <v>239</v>
      </c>
      <c r="E147" s="36">
        <v>43830</v>
      </c>
      <c r="F147" s="37">
        <v>502.96803</v>
      </c>
      <c r="G147" s="38">
        <v>10</v>
      </c>
      <c r="H147" s="39">
        <f t="shared" si="31"/>
        <v>50.296802999999997</v>
      </c>
      <c r="I147" s="37">
        <v>1836.6979269999999</v>
      </c>
      <c r="J147" s="37">
        <v>3086.2213769999998</v>
      </c>
      <c r="K147" s="37">
        <v>854.75677199999996</v>
      </c>
      <c r="L147" s="37">
        <v>6.0955579999999996</v>
      </c>
      <c r="M147" s="37">
        <v>199.654662</v>
      </c>
      <c r="N147" s="39">
        <f t="shared" si="32"/>
        <v>54.458304999999996</v>
      </c>
      <c r="O147" s="37">
        <v>145.19635700000001</v>
      </c>
      <c r="P147" s="40">
        <v>17.5</v>
      </c>
      <c r="Q147" s="40">
        <v>0</v>
      </c>
      <c r="R147" s="41">
        <f t="shared" si="33"/>
        <v>17.5</v>
      </c>
      <c r="S147" s="42">
        <v>1266</v>
      </c>
    </row>
    <row r="148" spans="2:19" ht="15.75" x14ac:dyDescent="0.25">
      <c r="B148" s="34">
        <f t="shared" si="34"/>
        <v>6</v>
      </c>
      <c r="C148" s="34" t="s">
        <v>240</v>
      </c>
      <c r="D148" s="35" t="s">
        <v>241</v>
      </c>
      <c r="E148" s="36">
        <v>43830</v>
      </c>
      <c r="F148" s="37">
        <v>1076.9504099999999</v>
      </c>
      <c r="G148" s="38">
        <v>10</v>
      </c>
      <c r="H148" s="39">
        <f t="shared" si="31"/>
        <v>107.69504099999999</v>
      </c>
      <c r="I148" s="37">
        <v>974.11199999999997</v>
      </c>
      <c r="J148" s="37">
        <v>1254.7713510000001</v>
      </c>
      <c r="K148" s="37">
        <v>177.32297399999999</v>
      </c>
      <c r="L148" s="37">
        <v>0.80508500000000005</v>
      </c>
      <c r="M148" s="37">
        <v>63.584783999999999</v>
      </c>
      <c r="N148" s="39">
        <f t="shared" si="32"/>
        <v>14.451416999999999</v>
      </c>
      <c r="O148" s="37">
        <v>49.133367</v>
      </c>
      <c r="P148" s="40">
        <v>0</v>
      </c>
      <c r="Q148" s="40">
        <v>0</v>
      </c>
      <c r="R148" s="41">
        <f t="shared" si="33"/>
        <v>0</v>
      </c>
      <c r="S148" s="42">
        <v>2230</v>
      </c>
    </row>
    <row r="149" spans="2:19" ht="15.75" x14ac:dyDescent="0.25">
      <c r="B149" s="34">
        <f t="shared" si="34"/>
        <v>7</v>
      </c>
      <c r="C149" s="34" t="s">
        <v>242</v>
      </c>
      <c r="D149" s="35" t="s">
        <v>243</v>
      </c>
      <c r="E149" s="36">
        <v>43830</v>
      </c>
      <c r="F149" s="37">
        <v>2000</v>
      </c>
      <c r="G149" s="38">
        <v>10</v>
      </c>
      <c r="H149" s="39">
        <f t="shared" si="31"/>
        <v>200</v>
      </c>
      <c r="I149" s="37">
        <v>20296.485000000001</v>
      </c>
      <c r="J149" s="37">
        <v>45699.245999999999</v>
      </c>
      <c r="K149" s="37">
        <v>10487.019</v>
      </c>
      <c r="L149" s="37">
        <v>14.09</v>
      </c>
      <c r="M149" s="37">
        <v>3827.335</v>
      </c>
      <c r="N149" s="39">
        <f t="shared" si="32"/>
        <v>1218.7550000000001</v>
      </c>
      <c r="O149" s="37">
        <v>2608.58</v>
      </c>
      <c r="P149" s="40">
        <f>15+15+15+55</f>
        <v>100</v>
      </c>
      <c r="Q149" s="40">
        <v>0</v>
      </c>
      <c r="R149" s="41">
        <f t="shared" si="33"/>
        <v>100</v>
      </c>
      <c r="S149" s="42">
        <v>1603</v>
      </c>
    </row>
    <row r="150" spans="2:19" ht="15.75" x14ac:dyDescent="0.25">
      <c r="B150" s="34">
        <f t="shared" si="34"/>
        <v>8</v>
      </c>
      <c r="C150" s="60" t="s">
        <v>244</v>
      </c>
      <c r="D150" s="35" t="s">
        <v>245</v>
      </c>
      <c r="E150" s="36">
        <v>43830</v>
      </c>
      <c r="F150" s="37">
        <v>1000</v>
      </c>
      <c r="G150" s="38">
        <v>10</v>
      </c>
      <c r="H150" s="39">
        <f t="shared" si="31"/>
        <v>100</v>
      </c>
      <c r="I150" s="37">
        <v>5907.49</v>
      </c>
      <c r="J150" s="37">
        <v>129289.639</v>
      </c>
      <c r="K150" s="37">
        <v>38061.925000000003</v>
      </c>
      <c r="L150" s="37">
        <v>0</v>
      </c>
      <c r="M150" s="37">
        <v>2354.1729999999998</v>
      </c>
      <c r="N150" s="39">
        <f t="shared" si="32"/>
        <v>804.90899999999988</v>
      </c>
      <c r="O150" s="37">
        <v>1549.2639999999999</v>
      </c>
      <c r="P150" s="40">
        <f>15+15+15+105</f>
        <v>150</v>
      </c>
      <c r="Q150" s="40">
        <v>0</v>
      </c>
      <c r="R150" s="41">
        <f t="shared" si="33"/>
        <v>150</v>
      </c>
      <c r="S150" s="42">
        <v>1046</v>
      </c>
    </row>
    <row r="151" spans="2:19" ht="15.75" x14ac:dyDescent="0.25">
      <c r="B151" s="34">
        <f t="shared" si="34"/>
        <v>9</v>
      </c>
      <c r="C151" s="34" t="s">
        <v>246</v>
      </c>
      <c r="D151" s="35" t="s">
        <v>247</v>
      </c>
      <c r="E151" s="36">
        <v>43830</v>
      </c>
      <c r="F151" s="37">
        <v>1029.0070499999999</v>
      </c>
      <c r="G151" s="38">
        <v>10</v>
      </c>
      <c r="H151" s="39">
        <f t="shared" si="31"/>
        <v>102.90070499999999</v>
      </c>
      <c r="I151" s="37">
        <v>1423.087264</v>
      </c>
      <c r="J151" s="37">
        <v>3640.208067</v>
      </c>
      <c r="K151" s="37">
        <v>1559.404638</v>
      </c>
      <c r="L151" s="37">
        <v>2.8528709999999999</v>
      </c>
      <c r="M151" s="37">
        <v>235.08689100000001</v>
      </c>
      <c r="N151" s="39">
        <f t="shared" si="32"/>
        <v>53.453777000000002</v>
      </c>
      <c r="O151" s="37">
        <v>181.63311400000001</v>
      </c>
      <c r="P151" s="40">
        <v>0</v>
      </c>
      <c r="Q151" s="40">
        <f>20</f>
        <v>20</v>
      </c>
      <c r="R151" s="41">
        <f t="shared" si="33"/>
        <v>20</v>
      </c>
      <c r="S151" s="42"/>
    </row>
    <row r="152" spans="2:19" ht="15.75" x14ac:dyDescent="0.25">
      <c r="B152" s="34">
        <f t="shared" si="34"/>
        <v>10</v>
      </c>
      <c r="C152" s="60" t="s">
        <v>248</v>
      </c>
      <c r="D152" s="35" t="s">
        <v>249</v>
      </c>
      <c r="E152" s="36">
        <v>43830</v>
      </c>
      <c r="F152" s="37">
        <v>1101.72</v>
      </c>
      <c r="G152" s="38">
        <v>10</v>
      </c>
      <c r="H152" s="39">
        <f t="shared" si="31"/>
        <v>110.172</v>
      </c>
      <c r="I152" s="37">
        <v>284.04700000000003</v>
      </c>
      <c r="J152" s="37">
        <v>789.90800000000002</v>
      </c>
      <c r="K152" s="37">
        <v>398.41699999999997</v>
      </c>
      <c r="L152" s="37">
        <v>0</v>
      </c>
      <c r="M152" s="37">
        <v>-262.37</v>
      </c>
      <c r="N152" s="39">
        <f t="shared" si="32"/>
        <v>0.50999999999999091</v>
      </c>
      <c r="O152" s="37">
        <v>-262.88</v>
      </c>
      <c r="P152" s="40">
        <v>0</v>
      </c>
      <c r="Q152" s="40">
        <v>0</v>
      </c>
      <c r="R152" s="41">
        <f t="shared" si="33"/>
        <v>0</v>
      </c>
      <c r="S152" s="42">
        <v>571</v>
      </c>
    </row>
    <row r="153" spans="2:19" ht="15.75" x14ac:dyDescent="0.25">
      <c r="B153" s="34">
        <f t="shared" si="34"/>
        <v>11</v>
      </c>
      <c r="C153" s="34" t="s">
        <v>250</v>
      </c>
      <c r="D153" s="35" t="s">
        <v>251</v>
      </c>
      <c r="E153" s="36">
        <v>43830</v>
      </c>
      <c r="F153" s="37">
        <v>619.37400000000002</v>
      </c>
      <c r="G153" s="38">
        <v>5</v>
      </c>
      <c r="H153" s="39">
        <f t="shared" si="31"/>
        <v>123.87480000000001</v>
      </c>
      <c r="I153" s="37">
        <v>1249.181</v>
      </c>
      <c r="J153" s="37">
        <v>3640.6669999999999</v>
      </c>
      <c r="K153" s="37">
        <v>871.84500000000003</v>
      </c>
      <c r="L153" s="37">
        <v>14.569000000000001</v>
      </c>
      <c r="M153" s="37">
        <v>97.227000000000004</v>
      </c>
      <c r="N153" s="39">
        <f t="shared" si="32"/>
        <v>27.14</v>
      </c>
      <c r="O153" s="37">
        <v>70.087000000000003</v>
      </c>
      <c r="P153" s="40">
        <v>10</v>
      </c>
      <c r="Q153" s="40">
        <v>0</v>
      </c>
      <c r="R153" s="41">
        <f t="shared" si="33"/>
        <v>10</v>
      </c>
      <c r="S153" s="42">
        <v>2639</v>
      </c>
    </row>
    <row r="154" spans="2:19" ht="15.75" x14ac:dyDescent="0.25">
      <c r="B154" s="34">
        <f t="shared" si="34"/>
        <v>12</v>
      </c>
      <c r="C154" s="34" t="s">
        <v>252</v>
      </c>
      <c r="D154" s="35" t="s">
        <v>253</v>
      </c>
      <c r="E154" s="36">
        <v>43830</v>
      </c>
      <c r="F154" s="37">
        <v>1426.3050000000001</v>
      </c>
      <c r="G154" s="38">
        <v>10</v>
      </c>
      <c r="H154" s="39">
        <f t="shared" si="31"/>
        <v>142.63050000000001</v>
      </c>
      <c r="I154" s="37">
        <v>13774.005999999999</v>
      </c>
      <c r="J154" s="37">
        <v>16091.77</v>
      </c>
      <c r="K154" s="37">
        <v>1111.5350000000001</v>
      </c>
      <c r="L154" s="37">
        <v>210.10599999999999</v>
      </c>
      <c r="M154" s="37">
        <v>911.54200000000003</v>
      </c>
      <c r="N154" s="39">
        <f t="shared" si="32"/>
        <v>14.812999999999988</v>
      </c>
      <c r="O154" s="37">
        <v>896.72900000000004</v>
      </c>
      <c r="P154" s="40">
        <v>30</v>
      </c>
      <c r="Q154" s="40">
        <v>0</v>
      </c>
      <c r="R154" s="41">
        <f t="shared" si="33"/>
        <v>30</v>
      </c>
      <c r="S154" s="42">
        <v>3498</v>
      </c>
    </row>
    <row r="155" spans="2:19" ht="15.75" x14ac:dyDescent="0.25">
      <c r="B155" s="34">
        <f t="shared" si="34"/>
        <v>13</v>
      </c>
      <c r="C155" s="34" t="s">
        <v>254</v>
      </c>
      <c r="D155" s="35" t="s">
        <v>255</v>
      </c>
      <c r="E155" s="36">
        <v>43830</v>
      </c>
      <c r="F155" s="37">
        <v>1705.672</v>
      </c>
      <c r="G155" s="38">
        <v>10</v>
      </c>
      <c r="H155" s="39">
        <f t="shared" si="31"/>
        <v>170.56720000000001</v>
      </c>
      <c r="I155" s="37">
        <v>2240.7130000000002</v>
      </c>
      <c r="J155" s="37">
        <v>20144.098999999998</v>
      </c>
      <c r="K155" s="37">
        <v>6477.9859999999999</v>
      </c>
      <c r="L155" s="37">
        <v>3.3679999999999999</v>
      </c>
      <c r="M155" s="37">
        <v>-245.797</v>
      </c>
      <c r="N155" s="39">
        <f t="shared" si="32"/>
        <v>-69.079000000000008</v>
      </c>
      <c r="O155" s="37">
        <v>-176.71799999999999</v>
      </c>
      <c r="P155" s="40">
        <v>0</v>
      </c>
      <c r="Q155" s="40">
        <v>0</v>
      </c>
      <c r="R155" s="41">
        <f t="shared" si="33"/>
        <v>0</v>
      </c>
      <c r="S155" s="42">
        <v>992</v>
      </c>
    </row>
    <row r="156" spans="2:19" ht="15.75" x14ac:dyDescent="0.25">
      <c r="B156" s="34">
        <f t="shared" si="34"/>
        <v>14</v>
      </c>
      <c r="C156" s="34" t="s">
        <v>256</v>
      </c>
      <c r="D156" s="35" t="s">
        <v>257</v>
      </c>
      <c r="E156" s="36">
        <v>43830</v>
      </c>
      <c r="F156" s="37">
        <v>1804.4649999999999</v>
      </c>
      <c r="G156" s="38">
        <v>10</v>
      </c>
      <c r="H156" s="39">
        <f t="shared" si="31"/>
        <v>180.44649999999999</v>
      </c>
      <c r="I156" s="37">
        <v>8712.0609999999997</v>
      </c>
      <c r="J156" s="37">
        <v>22088.923999999999</v>
      </c>
      <c r="K156" s="37">
        <v>6425.6859999999997</v>
      </c>
      <c r="L156" s="37">
        <v>0</v>
      </c>
      <c r="M156" s="37">
        <v>1725.0160000000001</v>
      </c>
      <c r="N156" s="39">
        <f t="shared" si="32"/>
        <v>500.73099999999999</v>
      </c>
      <c r="O156" s="37">
        <v>1224.2850000000001</v>
      </c>
      <c r="P156" s="40">
        <v>30</v>
      </c>
      <c r="Q156" s="40">
        <v>10</v>
      </c>
      <c r="R156" s="41">
        <f t="shared" si="33"/>
        <v>40</v>
      </c>
      <c r="S156" s="42">
        <v>1463</v>
      </c>
    </row>
    <row r="157" spans="2:19" ht="15.75" x14ac:dyDescent="0.25">
      <c r="B157" s="34">
        <f t="shared" si="34"/>
        <v>15</v>
      </c>
      <c r="C157" s="60" t="s">
        <v>258</v>
      </c>
      <c r="D157" s="35" t="s">
        <v>259</v>
      </c>
      <c r="E157" s="36">
        <v>43830</v>
      </c>
      <c r="F157" s="37">
        <v>793.30700000000002</v>
      </c>
      <c r="G157" s="38">
        <v>10</v>
      </c>
      <c r="H157" s="39">
        <f t="shared" si="31"/>
        <v>79.330700000000007</v>
      </c>
      <c r="I157" s="37">
        <v>11405.561</v>
      </c>
      <c r="J157" s="37">
        <v>173360.52299999999</v>
      </c>
      <c r="K157" s="37">
        <v>69997.641000000003</v>
      </c>
      <c r="L157" s="37">
        <v>0</v>
      </c>
      <c r="M157" s="37">
        <v>3416.3670000000002</v>
      </c>
      <c r="N157" s="39">
        <f t="shared" si="32"/>
        <v>1192.1400000000003</v>
      </c>
      <c r="O157" s="37">
        <v>2224.2269999999999</v>
      </c>
      <c r="P157" s="40">
        <f>30+135</f>
        <v>165</v>
      </c>
      <c r="Q157" s="40">
        <v>10</v>
      </c>
      <c r="R157" s="41">
        <f t="shared" si="33"/>
        <v>175</v>
      </c>
      <c r="S157" s="42">
        <v>1379</v>
      </c>
    </row>
    <row r="158" spans="2:19" ht="15.75" x14ac:dyDescent="0.25">
      <c r="B158" s="34">
        <f t="shared" si="34"/>
        <v>16</v>
      </c>
      <c r="C158" s="34" t="s">
        <v>260</v>
      </c>
      <c r="D158" s="35" t="s">
        <v>261</v>
      </c>
      <c r="E158" s="36">
        <v>43830</v>
      </c>
      <c r="F158" s="37">
        <v>3000</v>
      </c>
      <c r="G158" s="38">
        <v>10</v>
      </c>
      <c r="H158" s="39">
        <f t="shared" si="31"/>
        <v>300</v>
      </c>
      <c r="I158" s="37">
        <v>9828.7976749999998</v>
      </c>
      <c r="J158" s="37">
        <v>35835.966003000001</v>
      </c>
      <c r="K158" s="37">
        <v>8597.2392519999994</v>
      </c>
      <c r="L158" s="37">
        <v>0</v>
      </c>
      <c r="M158" s="37">
        <v>2189.2493800000002</v>
      </c>
      <c r="N158" s="39">
        <f t="shared" si="32"/>
        <v>704.96684700000014</v>
      </c>
      <c r="O158" s="37">
        <v>1484.2825330000001</v>
      </c>
      <c r="P158" s="40">
        <v>20</v>
      </c>
      <c r="Q158" s="40">
        <v>0</v>
      </c>
      <c r="R158" s="41">
        <f t="shared" si="33"/>
        <v>20</v>
      </c>
      <c r="S158" s="42">
        <v>2608</v>
      </c>
    </row>
    <row r="159" spans="2:19" ht="15.75" x14ac:dyDescent="0.25">
      <c r="B159" s="34">
        <f t="shared" si="34"/>
        <v>17</v>
      </c>
      <c r="C159" s="34" t="s">
        <v>262</v>
      </c>
      <c r="D159" s="35" t="s">
        <v>263</v>
      </c>
      <c r="E159" s="36">
        <v>43830</v>
      </c>
      <c r="F159" s="37">
        <v>505.65</v>
      </c>
      <c r="G159" s="38">
        <v>10</v>
      </c>
      <c r="H159" s="39">
        <f t="shared" si="31"/>
        <v>50.564999999999998</v>
      </c>
      <c r="I159" s="37">
        <v>1157.0229999999999</v>
      </c>
      <c r="J159" s="37">
        <v>2957.3</v>
      </c>
      <c r="K159" s="37">
        <v>206.67400000000001</v>
      </c>
      <c r="L159" s="37">
        <v>1.8169999999999999</v>
      </c>
      <c r="M159" s="37">
        <v>-274.65499999999997</v>
      </c>
      <c r="N159" s="39">
        <f t="shared" si="32"/>
        <v>-34.893999999999977</v>
      </c>
      <c r="O159" s="37">
        <v>-239.761</v>
      </c>
      <c r="P159" s="40">
        <v>0</v>
      </c>
      <c r="Q159" s="40">
        <v>0</v>
      </c>
      <c r="R159" s="41">
        <f t="shared" si="33"/>
        <v>0</v>
      </c>
      <c r="S159" s="42">
        <v>2116</v>
      </c>
    </row>
    <row r="160" spans="2:19" ht="15.75" x14ac:dyDescent="0.25">
      <c r="B160" s="34">
        <f t="shared" si="34"/>
        <v>18</v>
      </c>
      <c r="C160" s="34" t="s">
        <v>264</v>
      </c>
      <c r="D160" s="35" t="s">
        <v>265</v>
      </c>
      <c r="E160" s="36">
        <v>43830</v>
      </c>
      <c r="F160" s="37">
        <v>561.41285000000005</v>
      </c>
      <c r="G160" s="38">
        <v>10</v>
      </c>
      <c r="H160" s="39">
        <f t="shared" si="31"/>
        <v>56.141285000000003</v>
      </c>
      <c r="I160" s="37">
        <v>933.52922899999999</v>
      </c>
      <c r="J160" s="37">
        <v>1595.486382</v>
      </c>
      <c r="K160" s="37">
        <v>442.14477499999998</v>
      </c>
      <c r="L160" s="37">
        <v>0</v>
      </c>
      <c r="M160" s="37">
        <v>96.403941000000003</v>
      </c>
      <c r="N160" s="39">
        <f t="shared" si="32"/>
        <v>25.192470999999998</v>
      </c>
      <c r="O160" s="37">
        <v>71.211470000000006</v>
      </c>
      <c r="P160" s="40">
        <v>0</v>
      </c>
      <c r="Q160" s="40">
        <v>0</v>
      </c>
      <c r="R160" s="41">
        <f t="shared" si="33"/>
        <v>0</v>
      </c>
      <c r="S160" s="42">
        <v>1443</v>
      </c>
    </row>
    <row r="161" spans="2:19" ht="15.75" x14ac:dyDescent="0.25">
      <c r="B161" s="34">
        <f t="shared" si="34"/>
        <v>19</v>
      </c>
      <c r="C161" s="34" t="s">
        <v>266</v>
      </c>
      <c r="D161" s="35" t="s">
        <v>267</v>
      </c>
      <c r="E161" s="36">
        <v>43830</v>
      </c>
      <c r="F161" s="37">
        <v>600</v>
      </c>
      <c r="G161" s="38">
        <v>10</v>
      </c>
      <c r="H161" s="39">
        <f t="shared" si="31"/>
        <v>60</v>
      </c>
      <c r="I161" s="37">
        <v>621.11170000000004</v>
      </c>
      <c r="J161" s="37">
        <v>1174.2081720000001</v>
      </c>
      <c r="K161" s="37">
        <v>390.22260799999998</v>
      </c>
      <c r="L161" s="37">
        <v>10.371058</v>
      </c>
      <c r="M161" s="37">
        <v>80.256215999999995</v>
      </c>
      <c r="N161" s="39">
        <f t="shared" si="32"/>
        <v>20.256107999999998</v>
      </c>
      <c r="O161" s="37">
        <v>60.000107999999997</v>
      </c>
      <c r="P161" s="40">
        <v>0</v>
      </c>
      <c r="Q161" s="40">
        <v>0</v>
      </c>
      <c r="R161" s="41">
        <f t="shared" si="33"/>
        <v>0</v>
      </c>
      <c r="S161" s="42">
        <v>706</v>
      </c>
    </row>
    <row r="162" spans="2:19" ht="15.75" x14ac:dyDescent="0.25">
      <c r="B162" s="34">
        <f t="shared" si="34"/>
        <v>20</v>
      </c>
      <c r="C162" s="34" t="s">
        <v>268</v>
      </c>
      <c r="D162" s="35" t="s">
        <v>269</v>
      </c>
      <c r="E162" s="36">
        <v>43830</v>
      </c>
      <c r="F162" s="37">
        <v>938.66260999999997</v>
      </c>
      <c r="G162" s="38">
        <v>10</v>
      </c>
      <c r="H162" s="39">
        <f t="shared" si="31"/>
        <v>93.866260999999994</v>
      </c>
      <c r="I162" s="37"/>
      <c r="J162" s="37"/>
      <c r="K162" s="37"/>
      <c r="L162" s="37"/>
      <c r="M162" s="37">
        <v>-81.643000000000001</v>
      </c>
      <c r="N162" s="39">
        <f t="shared" si="32"/>
        <v>25.513999999999996</v>
      </c>
      <c r="O162" s="37">
        <v>-107.157</v>
      </c>
      <c r="P162" s="40">
        <v>0</v>
      </c>
      <c r="Q162" s="40">
        <v>0</v>
      </c>
      <c r="R162" s="41">
        <f t="shared" si="33"/>
        <v>0</v>
      </c>
      <c r="S162" s="42">
        <v>543</v>
      </c>
    </row>
    <row r="163" spans="2:19" ht="15.75" x14ac:dyDescent="0.25">
      <c r="B163" s="34">
        <f t="shared" si="34"/>
        <v>21</v>
      </c>
      <c r="C163" s="34" t="s">
        <v>270</v>
      </c>
      <c r="D163" s="35" t="s">
        <v>271</v>
      </c>
      <c r="E163" s="36">
        <v>43830</v>
      </c>
      <c r="F163" s="37">
        <v>2601.0168199999998</v>
      </c>
      <c r="G163" s="38">
        <v>10</v>
      </c>
      <c r="H163" s="39">
        <f t="shared" si="31"/>
        <v>260.10168199999998</v>
      </c>
      <c r="I163" s="37">
        <v>3871.8413289999999</v>
      </c>
      <c r="J163" s="37">
        <v>8183.062559</v>
      </c>
      <c r="K163" s="37">
        <v>2660.5051619999999</v>
      </c>
      <c r="L163" s="37">
        <v>5.7912280000000003</v>
      </c>
      <c r="M163" s="37">
        <v>609.11378300000001</v>
      </c>
      <c r="N163" s="39">
        <f t="shared" si="32"/>
        <v>207.52305699999999</v>
      </c>
      <c r="O163" s="37">
        <v>401.59072600000002</v>
      </c>
      <c r="P163" s="40">
        <v>0</v>
      </c>
      <c r="Q163" s="40">
        <v>13.417199999999999</v>
      </c>
      <c r="R163" s="41">
        <f t="shared" si="33"/>
        <v>13.417199999999999</v>
      </c>
      <c r="S163" s="42">
        <v>1370</v>
      </c>
    </row>
    <row r="164" spans="2:19" ht="15.75" x14ac:dyDescent="0.25">
      <c r="B164" s="34">
        <f t="shared" si="34"/>
        <v>22</v>
      </c>
      <c r="C164" s="34" t="s">
        <v>272</v>
      </c>
      <c r="D164" s="35" t="s">
        <v>273</v>
      </c>
      <c r="E164" s="36">
        <v>43830</v>
      </c>
      <c r="F164" s="37">
        <v>500</v>
      </c>
      <c r="G164" s="38">
        <v>10</v>
      </c>
      <c r="H164" s="39">
        <f t="shared" si="31"/>
        <v>50</v>
      </c>
      <c r="I164" s="37">
        <v>822.11400000000003</v>
      </c>
      <c r="J164" s="37">
        <v>953.84199999999998</v>
      </c>
      <c r="K164" s="37">
        <v>93.221000000000004</v>
      </c>
      <c r="L164" s="37">
        <v>0</v>
      </c>
      <c r="M164" s="37">
        <v>4.4210000000000003</v>
      </c>
      <c r="N164" s="39">
        <f t="shared" si="32"/>
        <v>2.0860000000000003</v>
      </c>
      <c r="O164" s="37">
        <v>2.335</v>
      </c>
      <c r="P164" s="40">
        <v>0</v>
      </c>
      <c r="Q164" s="40">
        <v>0</v>
      </c>
      <c r="R164" s="41">
        <f t="shared" si="33"/>
        <v>0</v>
      </c>
      <c r="S164" s="42">
        <v>903</v>
      </c>
    </row>
    <row r="165" spans="2:19" ht="15.75" x14ac:dyDescent="0.25">
      <c r="B165" s="29"/>
      <c r="C165" s="29"/>
      <c r="D165" s="29"/>
      <c r="E165" s="29"/>
      <c r="F165" s="29"/>
      <c r="G165" s="43"/>
      <c r="H165" s="44"/>
      <c r="I165" s="31"/>
      <c r="J165" s="31"/>
      <c r="K165" s="31"/>
      <c r="L165" s="31"/>
      <c r="M165" s="31"/>
      <c r="N165" s="45"/>
      <c r="O165" s="31"/>
      <c r="P165" s="31"/>
      <c r="Q165" s="31"/>
      <c r="R165" s="45"/>
      <c r="S165" s="31"/>
    </row>
    <row r="166" spans="2:19" ht="18.75" x14ac:dyDescent="0.3">
      <c r="B166" s="29"/>
      <c r="C166" s="29"/>
      <c r="D166" s="56" t="s">
        <v>43</v>
      </c>
      <c r="E166" s="29"/>
      <c r="F166" s="29"/>
      <c r="G166" s="43"/>
      <c r="H166" s="44"/>
      <c r="I166" s="31"/>
      <c r="J166" s="31"/>
      <c r="K166" s="31"/>
      <c r="L166" s="31"/>
      <c r="M166" s="31"/>
      <c r="N166" s="45"/>
      <c r="O166" s="31"/>
      <c r="P166" s="31"/>
      <c r="Q166" s="31"/>
      <c r="R166" s="45"/>
      <c r="S166" s="31"/>
    </row>
    <row r="167" spans="2:19" ht="15.75" x14ac:dyDescent="0.25">
      <c r="B167" s="34">
        <v>1</v>
      </c>
      <c r="C167" s="34" t="s">
        <v>274</v>
      </c>
      <c r="D167" s="35" t="s">
        <v>275</v>
      </c>
      <c r="E167" s="36">
        <v>43830</v>
      </c>
      <c r="F167" s="37"/>
      <c r="G167" s="38">
        <v>10</v>
      </c>
      <c r="H167" s="39">
        <f t="shared" ref="H167:H171" si="35">+F167/G167</f>
        <v>0</v>
      </c>
      <c r="I167" s="37"/>
      <c r="J167" s="37"/>
      <c r="K167" s="37"/>
      <c r="L167" s="37"/>
      <c r="M167" s="37"/>
      <c r="N167" s="39">
        <f t="shared" ref="N167:N171" si="36">+M167-O167</f>
        <v>0</v>
      </c>
      <c r="O167" s="37"/>
      <c r="P167" s="40"/>
      <c r="Q167" s="40"/>
      <c r="R167" s="41">
        <f t="shared" ref="R167:R171" si="37">SUM(P167:Q167)</f>
        <v>0</v>
      </c>
      <c r="S167" s="42"/>
    </row>
    <row r="168" spans="2:19" ht="15.75" x14ac:dyDescent="0.25">
      <c r="B168" s="34">
        <f t="shared" ref="B168:B172" si="38">+B167+1</f>
        <v>2</v>
      </c>
      <c r="C168" s="34" t="s">
        <v>276</v>
      </c>
      <c r="D168" s="35" t="s">
        <v>277</v>
      </c>
      <c r="E168" s="36">
        <v>43830</v>
      </c>
      <c r="F168" s="37">
        <v>464.0145</v>
      </c>
      <c r="G168" s="38">
        <v>10</v>
      </c>
      <c r="H168" s="39">
        <f t="shared" si="35"/>
        <v>46.401449999999997</v>
      </c>
      <c r="I168" s="37">
        <v>470.75688200000002</v>
      </c>
      <c r="J168" s="37">
        <v>549.38910499999997</v>
      </c>
      <c r="K168" s="37">
        <v>1.884447</v>
      </c>
      <c r="L168" s="37">
        <v>0.12907199999999999</v>
      </c>
      <c r="M168" s="37">
        <v>-46.908459000000001</v>
      </c>
      <c r="N168" s="39">
        <f t="shared" si="36"/>
        <v>-27.378197</v>
      </c>
      <c r="O168" s="37">
        <v>-19.530262</v>
      </c>
      <c r="P168" s="40">
        <v>0</v>
      </c>
      <c r="Q168" s="40">
        <v>0</v>
      </c>
      <c r="R168" s="41">
        <f t="shared" si="37"/>
        <v>0</v>
      </c>
      <c r="S168" s="42">
        <v>1512</v>
      </c>
    </row>
    <row r="169" spans="2:19" ht="15.75" x14ac:dyDescent="0.25">
      <c r="B169" s="34">
        <f t="shared" si="38"/>
        <v>3</v>
      </c>
      <c r="C169" s="34" t="s">
        <v>278</v>
      </c>
      <c r="D169" s="35" t="s">
        <v>279</v>
      </c>
      <c r="E169" s="36">
        <v>43830</v>
      </c>
      <c r="F169" s="37">
        <v>350</v>
      </c>
      <c r="G169" s="38">
        <v>10</v>
      </c>
      <c r="H169" s="39">
        <f>+F169/G169</f>
        <v>35</v>
      </c>
      <c r="I169" s="37">
        <v>-17.994</v>
      </c>
      <c r="J169" s="37">
        <v>70.817999999999998</v>
      </c>
      <c r="K169" s="37">
        <v>0</v>
      </c>
      <c r="L169" s="37">
        <v>0</v>
      </c>
      <c r="M169" s="37">
        <v>-1.7050000000000001</v>
      </c>
      <c r="N169" s="39">
        <f>+M169-O169</f>
        <v>0.46999999999999975</v>
      </c>
      <c r="O169" s="37">
        <v>-2.1749999999999998</v>
      </c>
      <c r="P169" s="40">
        <v>0</v>
      </c>
      <c r="Q169" s="40">
        <v>0</v>
      </c>
      <c r="R169" s="41">
        <f>SUM(P169:Q169)</f>
        <v>0</v>
      </c>
      <c r="S169" s="42">
        <v>3728</v>
      </c>
    </row>
    <row r="170" spans="2:19" ht="15.75" x14ac:dyDescent="0.25">
      <c r="B170" s="34">
        <f t="shared" si="38"/>
        <v>4</v>
      </c>
      <c r="C170" s="34" t="s">
        <v>280</v>
      </c>
      <c r="D170" s="35" t="s">
        <v>281</v>
      </c>
      <c r="E170" s="36">
        <v>43830</v>
      </c>
      <c r="F170" s="37">
        <v>85</v>
      </c>
      <c r="G170" s="38">
        <v>10</v>
      </c>
      <c r="H170" s="39">
        <f t="shared" si="35"/>
        <v>8.5</v>
      </c>
      <c r="I170" s="37"/>
      <c r="J170" s="37"/>
      <c r="K170" s="37"/>
      <c r="L170" s="37"/>
      <c r="M170" s="37">
        <v>-1.7190000000000001</v>
      </c>
      <c r="N170" s="39">
        <f t="shared" si="36"/>
        <v>0</v>
      </c>
      <c r="O170" s="37">
        <v>-1.7190000000000001</v>
      </c>
      <c r="P170" s="40">
        <v>0</v>
      </c>
      <c r="Q170" s="40">
        <v>0</v>
      </c>
      <c r="R170" s="41">
        <f t="shared" si="37"/>
        <v>0</v>
      </c>
      <c r="S170" s="42"/>
    </row>
    <row r="171" spans="2:19" ht="15.75" x14ac:dyDescent="0.25">
      <c r="B171" s="34">
        <f t="shared" si="38"/>
        <v>5</v>
      </c>
      <c r="C171" s="34" t="s">
        <v>282</v>
      </c>
      <c r="D171" s="35" t="s">
        <v>283</v>
      </c>
      <c r="E171" s="36">
        <v>43830</v>
      </c>
      <c r="F171" s="37">
        <v>10</v>
      </c>
      <c r="G171" s="38">
        <v>10</v>
      </c>
      <c r="H171" s="39">
        <f t="shared" si="35"/>
        <v>1</v>
      </c>
      <c r="I171" s="37">
        <v>-18.430503999999999</v>
      </c>
      <c r="J171" s="37">
        <v>26.646514</v>
      </c>
      <c r="K171" s="37">
        <v>1.7484360000000001</v>
      </c>
      <c r="L171" s="37">
        <v>0</v>
      </c>
      <c r="M171" s="37">
        <v>-1.72818</v>
      </c>
      <c r="N171" s="39">
        <f t="shared" si="36"/>
        <v>2.1854999999999958E-2</v>
      </c>
      <c r="O171" s="37">
        <v>-1.750035</v>
      </c>
      <c r="P171" s="40">
        <v>0</v>
      </c>
      <c r="Q171" s="40">
        <v>0</v>
      </c>
      <c r="R171" s="41">
        <f t="shared" si="37"/>
        <v>0</v>
      </c>
      <c r="S171" s="42">
        <v>169</v>
      </c>
    </row>
    <row r="172" spans="2:19" ht="15.75" x14ac:dyDescent="0.25">
      <c r="B172" s="34">
        <f t="shared" si="38"/>
        <v>6</v>
      </c>
      <c r="C172" s="34" t="s">
        <v>284</v>
      </c>
      <c r="D172" s="35" t="s">
        <v>285</v>
      </c>
      <c r="E172" s="36">
        <v>43830</v>
      </c>
      <c r="F172" s="37"/>
      <c r="G172" s="38">
        <v>10</v>
      </c>
      <c r="H172" s="39">
        <f>+F172/G172</f>
        <v>0</v>
      </c>
      <c r="I172" s="37"/>
      <c r="J172" s="37"/>
      <c r="K172" s="37"/>
      <c r="L172" s="37"/>
      <c r="M172" s="37"/>
      <c r="N172" s="39">
        <f>+M172-O172</f>
        <v>0</v>
      </c>
      <c r="O172" s="37"/>
      <c r="P172" s="40"/>
      <c r="Q172" s="40"/>
      <c r="R172" s="41">
        <f>SUM(P172:Q172)</f>
        <v>0</v>
      </c>
      <c r="S172" s="42"/>
    </row>
    <row r="173" spans="2:19" ht="15.75" x14ac:dyDescent="0.25">
      <c r="B173" s="29"/>
      <c r="C173" s="29"/>
      <c r="D173" s="29"/>
      <c r="E173" s="29"/>
      <c r="F173" s="29"/>
      <c r="G173" s="43"/>
      <c r="H173" s="44"/>
      <c r="I173" s="31"/>
      <c r="J173" s="31"/>
      <c r="K173" s="31"/>
      <c r="L173" s="31"/>
      <c r="M173" s="31"/>
      <c r="N173" s="45"/>
      <c r="O173" s="31"/>
      <c r="P173" s="31"/>
      <c r="Q173" s="31"/>
      <c r="R173" s="45"/>
      <c r="S173" s="31"/>
    </row>
    <row r="174" spans="2:19" ht="15.75" x14ac:dyDescent="0.25">
      <c r="B174" s="34">
        <f>COUNT(B143:B173)</f>
        <v>28</v>
      </c>
      <c r="C174" s="34"/>
      <c r="D174" s="48"/>
      <c r="E174" s="48"/>
      <c r="F174" s="48">
        <f>SUM(F143:F173)</f>
        <v>28269.693180000002</v>
      </c>
      <c r="G174" s="49"/>
      <c r="H174" s="50">
        <f t="shared" ref="H174:O174" si="39">SUM(H143:H173)</f>
        <v>2888.9067180000002</v>
      </c>
      <c r="I174" s="48">
        <f t="shared" si="39"/>
        <v>113801.62843099999</v>
      </c>
      <c r="J174" s="48">
        <f t="shared" si="39"/>
        <v>534040.45547599986</v>
      </c>
      <c r="K174" s="48">
        <f t="shared" si="39"/>
        <v>170843.69101799998</v>
      </c>
      <c r="L174" s="48">
        <f t="shared" si="39"/>
        <v>298.19354499999997</v>
      </c>
      <c r="M174" s="48">
        <f t="shared" si="39"/>
        <v>18835.078199000003</v>
      </c>
      <c r="N174" s="51">
        <f t="shared" si="39"/>
        <v>5873.9554770000013</v>
      </c>
      <c r="O174" s="48">
        <f t="shared" si="39"/>
        <v>12961.122722000004</v>
      </c>
      <c r="P174" s="52"/>
      <c r="Q174" s="52"/>
      <c r="R174" s="53"/>
      <c r="S174" s="54">
        <f>SUM(S143:S173)</f>
        <v>39747</v>
      </c>
    </row>
    <row r="175" spans="2:19" ht="15.75" x14ac:dyDescent="0.25">
      <c r="B175" s="29"/>
      <c r="C175" s="29"/>
      <c r="D175" s="29"/>
      <c r="E175" s="29"/>
      <c r="F175" s="29"/>
      <c r="G175" s="43"/>
      <c r="H175" s="44"/>
      <c r="I175" s="31"/>
      <c r="J175" s="31"/>
      <c r="K175" s="31"/>
      <c r="L175" s="31"/>
      <c r="M175" s="31"/>
      <c r="N175" s="45"/>
      <c r="O175" s="31"/>
      <c r="P175" s="31"/>
      <c r="Q175" s="31"/>
      <c r="R175" s="45"/>
      <c r="S175" s="31"/>
    </row>
    <row r="176" spans="2:19" ht="15.75" x14ac:dyDescent="0.25">
      <c r="B176" s="29"/>
      <c r="C176" s="29"/>
      <c r="D176" s="29"/>
      <c r="E176" s="29"/>
      <c r="F176" s="29"/>
      <c r="G176" s="43"/>
      <c r="H176" s="44"/>
      <c r="I176" s="31"/>
      <c r="J176" s="31"/>
      <c r="K176" s="31"/>
      <c r="L176" s="31"/>
      <c r="M176" s="31"/>
      <c r="N176" s="45"/>
      <c r="O176" s="31"/>
      <c r="P176" s="31"/>
      <c r="Q176" s="31"/>
      <c r="R176" s="45"/>
      <c r="S176" s="31"/>
    </row>
    <row r="177" spans="2:19" ht="18.75" x14ac:dyDescent="0.3">
      <c r="B177" s="29"/>
      <c r="C177" s="33">
        <v>7</v>
      </c>
      <c r="D177" s="33" t="s">
        <v>286</v>
      </c>
      <c r="E177" s="61"/>
      <c r="F177" s="61"/>
      <c r="G177" s="43"/>
      <c r="H177" s="44"/>
      <c r="I177" s="31"/>
      <c r="J177" s="31"/>
      <c r="K177" s="31"/>
      <c r="L177" s="31"/>
      <c r="M177" s="31"/>
      <c r="N177" s="45"/>
      <c r="O177" s="31"/>
      <c r="P177" s="31"/>
      <c r="Q177" s="31"/>
      <c r="R177" s="45"/>
      <c r="S177" s="31"/>
    </row>
    <row r="178" spans="2:19" ht="15.75" x14ac:dyDescent="0.25">
      <c r="B178" s="29"/>
      <c r="C178" s="29"/>
      <c r="D178" s="29"/>
      <c r="E178" s="29"/>
      <c r="F178" s="29"/>
      <c r="G178" s="43"/>
      <c r="H178" s="44"/>
      <c r="I178" s="31"/>
      <c r="J178" s="31"/>
      <c r="K178" s="31"/>
      <c r="L178" s="31"/>
      <c r="M178" s="31"/>
      <c r="N178" s="45"/>
      <c r="O178" s="31"/>
      <c r="P178" s="31"/>
      <c r="Q178" s="31"/>
      <c r="R178" s="45"/>
      <c r="S178" s="31"/>
    </row>
    <row r="179" spans="2:19" ht="15.75" x14ac:dyDescent="0.25">
      <c r="B179" s="60">
        <v>1</v>
      </c>
      <c r="C179" s="60" t="s">
        <v>287</v>
      </c>
      <c r="D179" s="35" t="s">
        <v>288</v>
      </c>
      <c r="E179" s="36">
        <v>43646</v>
      </c>
      <c r="F179" s="37">
        <v>22237</v>
      </c>
      <c r="G179" s="38">
        <v>10</v>
      </c>
      <c r="H179" s="39">
        <f>+F179/G179</f>
        <v>2223.6999999999998</v>
      </c>
      <c r="I179" s="37">
        <v>46233.196000000004</v>
      </c>
      <c r="J179" s="37">
        <v>47022.21</v>
      </c>
      <c r="K179" s="37">
        <v>3666.7179999999998</v>
      </c>
      <c r="L179" s="37">
        <v>0</v>
      </c>
      <c r="M179" s="37">
        <v>6869.5879999999997</v>
      </c>
      <c r="N179" s="39">
        <f>+M179-O179</f>
        <v>0</v>
      </c>
      <c r="O179" s="37">
        <v>6869.5879999999997</v>
      </c>
      <c r="P179" s="40">
        <f>3.3+3.3+3.3+3.3</f>
        <v>13.2</v>
      </c>
      <c r="Q179" s="40">
        <v>0</v>
      </c>
      <c r="R179" s="41">
        <f>SUM(P179:Q179)</f>
        <v>13.2</v>
      </c>
      <c r="S179" s="42">
        <v>4060</v>
      </c>
    </row>
    <row r="180" spans="2:19" ht="15.75" x14ac:dyDescent="0.25">
      <c r="B180" s="29"/>
      <c r="C180" s="29"/>
      <c r="D180" s="29"/>
      <c r="E180" s="29"/>
      <c r="F180" s="29"/>
      <c r="G180" s="43"/>
      <c r="H180" s="44"/>
      <c r="I180" s="31"/>
      <c r="J180" s="31"/>
      <c r="K180" s="31"/>
      <c r="L180" s="31"/>
      <c r="M180" s="31"/>
      <c r="N180" s="45"/>
      <c r="O180" s="31"/>
      <c r="P180" s="31"/>
      <c r="Q180" s="31"/>
      <c r="R180" s="45"/>
      <c r="S180" s="31"/>
    </row>
    <row r="181" spans="2:19" ht="15.75" x14ac:dyDescent="0.25">
      <c r="B181" s="34">
        <f>COUNT(B179:B180)</f>
        <v>1</v>
      </c>
      <c r="C181" s="34"/>
      <c r="D181" s="48"/>
      <c r="E181" s="48"/>
      <c r="F181" s="48">
        <f>SUM(F179:F180)</f>
        <v>22237</v>
      </c>
      <c r="G181" s="49"/>
      <c r="H181" s="50">
        <f t="shared" ref="H181:O181" si="40">SUM(H179:H180)</f>
        <v>2223.6999999999998</v>
      </c>
      <c r="I181" s="48">
        <f t="shared" si="40"/>
        <v>46233.196000000004</v>
      </c>
      <c r="J181" s="48">
        <f t="shared" si="40"/>
        <v>47022.21</v>
      </c>
      <c r="K181" s="48">
        <f t="shared" si="40"/>
        <v>3666.7179999999998</v>
      </c>
      <c r="L181" s="48">
        <f t="shared" si="40"/>
        <v>0</v>
      </c>
      <c r="M181" s="48">
        <f t="shared" si="40"/>
        <v>6869.5879999999997</v>
      </c>
      <c r="N181" s="51">
        <f t="shared" si="40"/>
        <v>0</v>
      </c>
      <c r="O181" s="48">
        <f t="shared" si="40"/>
        <v>6869.5879999999997</v>
      </c>
      <c r="P181" s="52"/>
      <c r="Q181" s="52"/>
      <c r="R181" s="53"/>
      <c r="S181" s="54">
        <f>SUM(S179:S180)</f>
        <v>4060</v>
      </c>
    </row>
    <row r="182" spans="2:19" ht="15.75" x14ac:dyDescent="0.25">
      <c r="B182" s="62"/>
      <c r="C182" s="62"/>
      <c r="D182" s="63"/>
      <c r="E182" s="63"/>
      <c r="F182" s="63"/>
      <c r="G182" s="65"/>
      <c r="H182" s="66"/>
      <c r="I182" s="63"/>
      <c r="J182" s="63"/>
      <c r="K182" s="63"/>
      <c r="L182" s="63"/>
      <c r="M182" s="63"/>
      <c r="N182" s="66"/>
      <c r="O182" s="63"/>
      <c r="P182" s="67"/>
      <c r="Q182" s="67"/>
      <c r="R182" s="68"/>
      <c r="S182" s="69"/>
    </row>
    <row r="183" spans="2:19" ht="15.75" x14ac:dyDescent="0.25">
      <c r="B183" s="29"/>
      <c r="C183" s="29"/>
      <c r="D183" s="29"/>
      <c r="E183" s="29"/>
      <c r="F183" s="29"/>
      <c r="G183" s="43"/>
      <c r="H183" s="44"/>
      <c r="I183" s="31"/>
      <c r="J183" s="31"/>
      <c r="K183" s="31"/>
      <c r="L183" s="31"/>
      <c r="M183" s="31"/>
      <c r="N183" s="45"/>
      <c r="O183" s="31"/>
      <c r="P183" s="31"/>
      <c r="Q183" s="31"/>
      <c r="R183" s="45"/>
      <c r="S183" s="31"/>
    </row>
    <row r="184" spans="2:19" ht="18.75" x14ac:dyDescent="0.3">
      <c r="B184" s="29"/>
      <c r="C184" s="33">
        <v>8</v>
      </c>
      <c r="D184" s="33" t="s">
        <v>289</v>
      </c>
      <c r="E184" s="61"/>
      <c r="F184" s="61"/>
      <c r="G184" s="43"/>
      <c r="H184" s="44"/>
      <c r="I184" s="31"/>
      <c r="J184" s="31"/>
      <c r="K184" s="31"/>
      <c r="L184" s="31"/>
      <c r="M184" s="31"/>
      <c r="N184" s="45"/>
      <c r="O184" s="31"/>
      <c r="P184" s="31"/>
      <c r="Q184" s="31"/>
      <c r="R184" s="45"/>
      <c r="S184" s="31"/>
    </row>
    <row r="185" spans="2:19" ht="15.75" x14ac:dyDescent="0.25">
      <c r="B185" s="29"/>
      <c r="C185" s="29"/>
      <c r="D185" s="29"/>
      <c r="E185" s="29"/>
      <c r="F185" s="29"/>
      <c r="G185" s="43"/>
      <c r="H185" s="44"/>
      <c r="I185" s="31"/>
      <c r="J185" s="31"/>
      <c r="K185" s="31"/>
      <c r="L185" s="31"/>
      <c r="M185" s="31"/>
      <c r="N185" s="45"/>
      <c r="O185" s="31"/>
      <c r="P185" s="31"/>
      <c r="Q185" s="31"/>
      <c r="R185" s="45"/>
      <c r="S185" s="31"/>
    </row>
    <row r="186" spans="2:19" ht="15.75" x14ac:dyDescent="0.25">
      <c r="B186" s="60">
        <v>1</v>
      </c>
      <c r="C186" s="60" t="s">
        <v>290</v>
      </c>
      <c r="D186" s="35" t="s">
        <v>291</v>
      </c>
      <c r="E186" s="36">
        <v>43646</v>
      </c>
      <c r="F186" s="37">
        <v>151.77000000000001</v>
      </c>
      <c r="G186" s="38">
        <v>10</v>
      </c>
      <c r="H186" s="39">
        <f t="shared" ref="H186:H225" si="41">+F186/G186</f>
        <v>15.177000000000001</v>
      </c>
      <c r="I186" s="37">
        <v>191.43112099999999</v>
      </c>
      <c r="J186" s="37">
        <v>966.61453100000006</v>
      </c>
      <c r="K186" s="37">
        <v>1786.4455</v>
      </c>
      <c r="L186" s="37">
        <v>5.6266999999999998E-2</v>
      </c>
      <c r="M186" s="37">
        <v>80.593132999999995</v>
      </c>
      <c r="N186" s="39">
        <f t="shared" ref="N186:N225" si="42">+M186-O186</f>
        <v>24.424545999999992</v>
      </c>
      <c r="O186" s="37">
        <v>56.168587000000002</v>
      </c>
      <c r="P186" s="40">
        <v>0</v>
      </c>
      <c r="Q186" s="40">
        <v>0</v>
      </c>
      <c r="R186" s="41">
        <f t="shared" ref="R186:R210" si="43">SUM(P186:Q186)</f>
        <v>0</v>
      </c>
      <c r="S186" s="42">
        <v>2008</v>
      </c>
    </row>
    <row r="187" spans="2:19" ht="15.75" x14ac:dyDescent="0.25">
      <c r="B187" s="60">
        <f>+B186+1</f>
        <v>2</v>
      </c>
      <c r="C187" s="60" t="s">
        <v>292</v>
      </c>
      <c r="D187" s="35" t="s">
        <v>293</v>
      </c>
      <c r="E187" s="36">
        <v>43646</v>
      </c>
      <c r="F187" s="37">
        <v>8</v>
      </c>
      <c r="G187" s="38">
        <v>10</v>
      </c>
      <c r="H187" s="39">
        <f t="shared" si="41"/>
        <v>0.8</v>
      </c>
      <c r="I187" s="37">
        <v>1088.8648909999999</v>
      </c>
      <c r="J187" s="37">
        <v>2085.3150489999998</v>
      </c>
      <c r="K187" s="37">
        <v>2090.5593699999999</v>
      </c>
      <c r="L187" s="37">
        <v>36.554031000000002</v>
      </c>
      <c r="M187" s="37">
        <v>-9.3052879999999991</v>
      </c>
      <c r="N187" s="39">
        <f t="shared" si="42"/>
        <v>6.614510000000001</v>
      </c>
      <c r="O187" s="37">
        <v>-15.919798</v>
      </c>
      <c r="P187" s="40">
        <v>0</v>
      </c>
      <c r="Q187" s="40">
        <v>0</v>
      </c>
      <c r="R187" s="41">
        <f t="shared" si="43"/>
        <v>0</v>
      </c>
      <c r="S187" s="42">
        <v>180</v>
      </c>
    </row>
    <row r="188" spans="2:19" ht="15.75" x14ac:dyDescent="0.25">
      <c r="B188" s="60">
        <f t="shared" ref="B188:B225" si="44">+B187+1</f>
        <v>3</v>
      </c>
      <c r="C188" s="60" t="s">
        <v>294</v>
      </c>
      <c r="D188" s="35" t="s">
        <v>295</v>
      </c>
      <c r="E188" s="36">
        <v>43646</v>
      </c>
      <c r="F188" s="37">
        <v>36.521999999999998</v>
      </c>
      <c r="G188" s="38">
        <v>10</v>
      </c>
      <c r="H188" s="39">
        <f t="shared" si="41"/>
        <v>3.6521999999999997</v>
      </c>
      <c r="I188" s="37">
        <v>1321.511</v>
      </c>
      <c r="J188" s="37">
        <v>3007.6469999999999</v>
      </c>
      <c r="K188" s="37">
        <v>2218.2849999999999</v>
      </c>
      <c r="L188" s="37">
        <v>115.89</v>
      </c>
      <c r="M188" s="37">
        <v>-95.379000000000005</v>
      </c>
      <c r="N188" s="39">
        <f t="shared" si="42"/>
        <v>-56.361000000000004</v>
      </c>
      <c r="O188" s="37">
        <v>-39.018000000000001</v>
      </c>
      <c r="P188" s="40">
        <v>0</v>
      </c>
      <c r="Q188" s="40">
        <v>0</v>
      </c>
      <c r="R188" s="41">
        <f t="shared" si="43"/>
        <v>0</v>
      </c>
      <c r="S188" s="42">
        <v>1587</v>
      </c>
    </row>
    <row r="189" spans="2:19" ht="15.75" x14ac:dyDescent="0.25">
      <c r="B189" s="60">
        <f t="shared" si="44"/>
        <v>4</v>
      </c>
      <c r="C189" s="60" t="s">
        <v>296</v>
      </c>
      <c r="D189" s="35" t="s">
        <v>297</v>
      </c>
      <c r="E189" s="36">
        <v>43646</v>
      </c>
      <c r="F189" s="37">
        <v>226.601</v>
      </c>
      <c r="G189" s="38">
        <v>10</v>
      </c>
      <c r="H189" s="39">
        <f t="shared" si="41"/>
        <v>22.6601</v>
      </c>
      <c r="I189" s="37">
        <v>4667.6559999999999</v>
      </c>
      <c r="J189" s="37">
        <v>6524.6409999999996</v>
      </c>
      <c r="K189" s="37">
        <v>7393.0339999999997</v>
      </c>
      <c r="L189" s="37">
        <v>83.647999999999996</v>
      </c>
      <c r="M189" s="37">
        <v>-4.2069999999999999</v>
      </c>
      <c r="N189" s="39">
        <f t="shared" si="42"/>
        <v>87.354000000000013</v>
      </c>
      <c r="O189" s="37">
        <v>-91.561000000000007</v>
      </c>
      <c r="P189" s="40">
        <v>0</v>
      </c>
      <c r="Q189" s="40">
        <v>0</v>
      </c>
      <c r="R189" s="41">
        <f t="shared" si="43"/>
        <v>0</v>
      </c>
      <c r="S189" s="42">
        <v>1475</v>
      </c>
    </row>
    <row r="190" spans="2:19" ht="15.75" x14ac:dyDescent="0.25">
      <c r="B190" s="60">
        <f t="shared" si="44"/>
        <v>5</v>
      </c>
      <c r="C190" s="60" t="s">
        <v>298</v>
      </c>
      <c r="D190" s="35" t="s">
        <v>299</v>
      </c>
      <c r="E190" s="36">
        <v>43646</v>
      </c>
      <c r="F190" s="37">
        <v>124.17876</v>
      </c>
      <c r="G190" s="38">
        <v>10</v>
      </c>
      <c r="H190" s="39">
        <f t="shared" si="41"/>
        <v>12.417876</v>
      </c>
      <c r="I190" s="37">
        <v>3150.4804709999999</v>
      </c>
      <c r="J190" s="37">
        <v>5150.4765969999999</v>
      </c>
      <c r="K190" s="37">
        <v>5289.4410699999999</v>
      </c>
      <c r="L190" s="37">
        <v>124.52026499999999</v>
      </c>
      <c r="M190" s="37">
        <v>162.567892</v>
      </c>
      <c r="N190" s="39">
        <f t="shared" si="42"/>
        <v>49.373469</v>
      </c>
      <c r="O190" s="37">
        <v>113.194423</v>
      </c>
      <c r="P190" s="40">
        <v>0</v>
      </c>
      <c r="Q190" s="40">
        <v>0</v>
      </c>
      <c r="R190" s="41">
        <f t="shared" si="43"/>
        <v>0</v>
      </c>
      <c r="S190" s="42">
        <v>1446</v>
      </c>
    </row>
    <row r="191" spans="2:19" ht="15.75" x14ac:dyDescent="0.25">
      <c r="B191" s="60">
        <f t="shared" si="44"/>
        <v>6</v>
      </c>
      <c r="C191" s="60" t="s">
        <v>300</v>
      </c>
      <c r="D191" s="35" t="s">
        <v>301</v>
      </c>
      <c r="E191" s="36">
        <v>43646</v>
      </c>
      <c r="F191" s="37">
        <v>4980.1000000000004</v>
      </c>
      <c r="G191" s="38">
        <v>10</v>
      </c>
      <c r="H191" s="39">
        <f t="shared" si="41"/>
        <v>498.01000000000005</v>
      </c>
      <c r="I191" s="37">
        <v>9744.9259999999995</v>
      </c>
      <c r="J191" s="37">
        <v>27173.262999999999</v>
      </c>
      <c r="K191" s="37">
        <v>23123.399000000001</v>
      </c>
      <c r="L191" s="37">
        <v>506.07499999999999</v>
      </c>
      <c r="M191" s="37">
        <v>2224.4259999999999</v>
      </c>
      <c r="N191" s="39">
        <f t="shared" si="42"/>
        <v>788.64099999999985</v>
      </c>
      <c r="O191" s="37">
        <v>1435.7850000000001</v>
      </c>
      <c r="P191" s="40">
        <v>0</v>
      </c>
      <c r="Q191" s="40">
        <v>0</v>
      </c>
      <c r="R191" s="41">
        <f t="shared" si="43"/>
        <v>0</v>
      </c>
      <c r="S191" s="42">
        <v>2846</v>
      </c>
    </row>
    <row r="192" spans="2:19" ht="15.75" x14ac:dyDescent="0.25">
      <c r="B192" s="60">
        <f t="shared" si="44"/>
        <v>7</v>
      </c>
      <c r="C192" s="60" t="s">
        <v>302</v>
      </c>
      <c r="D192" s="35" t="s">
        <v>303</v>
      </c>
      <c r="E192" s="36">
        <v>43646</v>
      </c>
      <c r="F192" s="37">
        <v>607.88099999999997</v>
      </c>
      <c r="G192" s="38">
        <v>5</v>
      </c>
      <c r="H192" s="39">
        <f t="shared" si="41"/>
        <v>121.5762</v>
      </c>
      <c r="I192" s="37"/>
      <c r="J192" s="37"/>
      <c r="K192" s="37"/>
      <c r="L192" s="37"/>
      <c r="M192" s="37">
        <v>-40.121000000000002</v>
      </c>
      <c r="N192" s="39">
        <f t="shared" si="42"/>
        <v>13.408999999999999</v>
      </c>
      <c r="O192" s="37">
        <v>-53.53</v>
      </c>
      <c r="P192" s="40">
        <v>0</v>
      </c>
      <c r="Q192" s="40">
        <v>0</v>
      </c>
      <c r="R192" s="41">
        <f t="shared" si="43"/>
        <v>0</v>
      </c>
      <c r="S192" s="42"/>
    </row>
    <row r="193" spans="2:19" ht="15.75" x14ac:dyDescent="0.25">
      <c r="B193" s="60">
        <f t="shared" si="44"/>
        <v>8</v>
      </c>
      <c r="C193" s="60" t="s">
        <v>304</v>
      </c>
      <c r="D193" s="35" t="s">
        <v>305</v>
      </c>
      <c r="E193" s="36">
        <v>43646</v>
      </c>
      <c r="F193" s="37">
        <v>977.50725999999997</v>
      </c>
      <c r="G193" s="38">
        <v>10</v>
      </c>
      <c r="H193" s="39">
        <f t="shared" si="41"/>
        <v>97.750726</v>
      </c>
      <c r="I193" s="37">
        <v>936.84922500000005</v>
      </c>
      <c r="J193" s="37">
        <v>2312.6161769999999</v>
      </c>
      <c r="K193" s="37">
        <v>482.91846500000003</v>
      </c>
      <c r="L193" s="37">
        <v>66.172330000000002</v>
      </c>
      <c r="M193" s="37">
        <v>-225.13119800000001</v>
      </c>
      <c r="N193" s="39">
        <f t="shared" si="42"/>
        <v>-14.917925000000025</v>
      </c>
      <c r="O193" s="37">
        <v>-210.21327299999999</v>
      </c>
      <c r="P193" s="40">
        <v>0</v>
      </c>
      <c r="Q193" s="40">
        <v>0</v>
      </c>
      <c r="R193" s="41">
        <f t="shared" si="43"/>
        <v>0</v>
      </c>
      <c r="S193" s="42">
        <v>2432</v>
      </c>
    </row>
    <row r="194" spans="2:19" ht="15.75" x14ac:dyDescent="0.25">
      <c r="B194" s="60">
        <f t="shared" si="44"/>
        <v>9</v>
      </c>
      <c r="C194" s="60" t="s">
        <v>306</v>
      </c>
      <c r="D194" s="35" t="s">
        <v>307</v>
      </c>
      <c r="E194" s="36">
        <v>43646</v>
      </c>
      <c r="F194" s="37">
        <v>291.48194000000001</v>
      </c>
      <c r="G194" s="38">
        <v>10</v>
      </c>
      <c r="H194" s="39">
        <f t="shared" si="41"/>
        <v>29.148194</v>
      </c>
      <c r="I194" s="37">
        <v>2163.0558759999999</v>
      </c>
      <c r="J194" s="37">
        <v>10536.975649</v>
      </c>
      <c r="K194" s="37">
        <v>11560.481838</v>
      </c>
      <c r="L194" s="37">
        <v>630.75210600000003</v>
      </c>
      <c r="M194" s="37">
        <v>418.54094600000002</v>
      </c>
      <c r="N194" s="39">
        <f t="shared" si="42"/>
        <v>56.092804000000001</v>
      </c>
      <c r="O194" s="37">
        <v>362.44814200000002</v>
      </c>
      <c r="P194" s="40">
        <v>25</v>
      </c>
      <c r="Q194" s="40">
        <v>0</v>
      </c>
      <c r="R194" s="41">
        <f t="shared" si="43"/>
        <v>25</v>
      </c>
      <c r="S194" s="42">
        <v>836</v>
      </c>
    </row>
    <row r="195" spans="2:19" ht="15.75" x14ac:dyDescent="0.25">
      <c r="B195" s="60">
        <f t="shared" si="44"/>
        <v>10</v>
      </c>
      <c r="C195" s="60" t="s">
        <v>308</v>
      </c>
      <c r="D195" s="35" t="s">
        <v>309</v>
      </c>
      <c r="E195" s="36">
        <v>43646</v>
      </c>
      <c r="F195" s="37">
        <v>836.85631000000001</v>
      </c>
      <c r="G195" s="38">
        <v>10</v>
      </c>
      <c r="H195" s="39">
        <f t="shared" si="41"/>
        <v>83.685631000000001</v>
      </c>
      <c r="I195" s="37">
        <v>216.45359500000001</v>
      </c>
      <c r="J195" s="37">
        <v>513.84876899999995</v>
      </c>
      <c r="K195" s="37">
        <v>581.73477800000001</v>
      </c>
      <c r="L195" s="37">
        <v>17.441039</v>
      </c>
      <c r="M195" s="37">
        <v>-134.546527</v>
      </c>
      <c r="N195" s="39">
        <f t="shared" si="42"/>
        <v>-53.015363999999991</v>
      </c>
      <c r="O195" s="37">
        <v>-81.531163000000006</v>
      </c>
      <c r="P195" s="40">
        <v>0</v>
      </c>
      <c r="Q195" s="40">
        <v>0</v>
      </c>
      <c r="R195" s="41">
        <f t="shared" si="43"/>
        <v>0</v>
      </c>
      <c r="S195" s="42">
        <v>2096</v>
      </c>
    </row>
    <row r="196" spans="2:19" ht="15.75" x14ac:dyDescent="0.25">
      <c r="B196" s="60">
        <f t="shared" si="44"/>
        <v>11</v>
      </c>
      <c r="C196" s="60" t="s">
        <v>310</v>
      </c>
      <c r="D196" s="35" t="s">
        <v>311</v>
      </c>
      <c r="E196" s="36">
        <v>43646</v>
      </c>
      <c r="F196" s="37">
        <v>13</v>
      </c>
      <c r="G196" s="38">
        <v>10</v>
      </c>
      <c r="H196" s="39">
        <f t="shared" si="41"/>
        <v>1.3</v>
      </c>
      <c r="I196" s="37">
        <v>55.036096000000001</v>
      </c>
      <c r="J196" s="37">
        <v>170.80597299999999</v>
      </c>
      <c r="K196" s="37">
        <v>503.03097300000002</v>
      </c>
      <c r="L196" s="37">
        <v>3.3530000000000001E-3</v>
      </c>
      <c r="M196" s="37">
        <v>6.3938220000000001</v>
      </c>
      <c r="N196" s="39">
        <f t="shared" si="42"/>
        <v>5.6773769999999999</v>
      </c>
      <c r="O196" s="37">
        <v>0.716445</v>
      </c>
      <c r="P196" s="40">
        <v>5</v>
      </c>
      <c r="Q196" s="40">
        <v>0</v>
      </c>
      <c r="R196" s="41">
        <f t="shared" si="43"/>
        <v>5</v>
      </c>
      <c r="S196" s="42">
        <v>126</v>
      </c>
    </row>
    <row r="197" spans="2:19" ht="15.75" x14ac:dyDescent="0.25">
      <c r="B197" s="60">
        <f t="shared" si="44"/>
        <v>12</v>
      </c>
      <c r="C197" s="60" t="s">
        <v>312</v>
      </c>
      <c r="D197" s="35" t="s">
        <v>313</v>
      </c>
      <c r="E197" s="36">
        <v>43646</v>
      </c>
      <c r="F197" s="37">
        <v>109.5</v>
      </c>
      <c r="G197" s="38">
        <v>10</v>
      </c>
      <c r="H197" s="39">
        <f t="shared" si="41"/>
        <v>10.95</v>
      </c>
      <c r="I197" s="37">
        <v>1634.4335020000001</v>
      </c>
      <c r="J197" s="37">
        <v>5593.2614229999999</v>
      </c>
      <c r="K197" s="37">
        <v>6346.6418190000004</v>
      </c>
      <c r="L197" s="37">
        <v>284.56625700000001</v>
      </c>
      <c r="M197" s="37">
        <v>167.48891399999999</v>
      </c>
      <c r="N197" s="39">
        <f t="shared" si="42"/>
        <v>-37.279605000000004</v>
      </c>
      <c r="O197" s="37">
        <v>204.768519</v>
      </c>
      <c r="P197" s="40">
        <v>60</v>
      </c>
      <c r="Q197" s="40">
        <v>0</v>
      </c>
      <c r="R197" s="41">
        <f t="shared" si="43"/>
        <v>60</v>
      </c>
      <c r="S197" s="42">
        <v>475</v>
      </c>
    </row>
    <row r="198" spans="2:19" ht="15.75" x14ac:dyDescent="0.25">
      <c r="B198" s="60">
        <f t="shared" si="44"/>
        <v>13</v>
      </c>
      <c r="C198" s="60" t="s">
        <v>314</v>
      </c>
      <c r="D198" s="35" t="s">
        <v>315</v>
      </c>
      <c r="E198" s="36">
        <v>43646</v>
      </c>
      <c r="F198" s="37">
        <v>300</v>
      </c>
      <c r="G198" s="38">
        <v>10</v>
      </c>
      <c r="H198" s="39">
        <f t="shared" si="41"/>
        <v>30</v>
      </c>
      <c r="I198" s="37">
        <v>20925.244094999998</v>
      </c>
      <c r="J198" s="37">
        <v>49671.476357</v>
      </c>
      <c r="K198" s="37">
        <v>36341.096534999997</v>
      </c>
      <c r="L198" s="37">
        <v>1894.2335599999999</v>
      </c>
      <c r="M198" s="37">
        <v>2364.1750699999998</v>
      </c>
      <c r="N198" s="39">
        <f t="shared" si="42"/>
        <v>848.67230899999981</v>
      </c>
      <c r="O198" s="37">
        <v>1515.502761</v>
      </c>
      <c r="P198" s="40">
        <v>105</v>
      </c>
      <c r="Q198" s="40">
        <v>0</v>
      </c>
      <c r="R198" s="41">
        <f t="shared" si="43"/>
        <v>105</v>
      </c>
      <c r="S198" s="42">
        <v>1306</v>
      </c>
    </row>
    <row r="199" spans="2:19" ht="15.75" x14ac:dyDescent="0.25">
      <c r="B199" s="60">
        <f t="shared" si="44"/>
        <v>14</v>
      </c>
      <c r="C199" s="60" t="s">
        <v>316</v>
      </c>
      <c r="D199" s="35" t="s">
        <v>317</v>
      </c>
      <c r="E199" s="36">
        <v>43646</v>
      </c>
      <c r="F199" s="37">
        <v>280.29500000000002</v>
      </c>
      <c r="G199" s="38">
        <v>10</v>
      </c>
      <c r="H199" s="39">
        <f t="shared" si="41"/>
        <v>28.029500000000002</v>
      </c>
      <c r="I199" s="37">
        <v>9189.4770000000008</v>
      </c>
      <c r="J199" s="37">
        <v>27279.355</v>
      </c>
      <c r="K199" s="37">
        <v>31217.478999999999</v>
      </c>
      <c r="L199" s="37">
        <v>1097.9490000000001</v>
      </c>
      <c r="M199" s="37">
        <v>1646.306</v>
      </c>
      <c r="N199" s="39">
        <f t="shared" si="42"/>
        <v>480.01300000000015</v>
      </c>
      <c r="O199" s="37">
        <v>1166.2929999999999</v>
      </c>
      <c r="P199" s="40">
        <v>85</v>
      </c>
      <c r="Q199" s="40">
        <v>0</v>
      </c>
      <c r="R199" s="41">
        <f t="shared" si="43"/>
        <v>85</v>
      </c>
      <c r="S199" s="42">
        <v>2194</v>
      </c>
    </row>
    <row r="200" spans="2:19" ht="15.75" x14ac:dyDescent="0.25">
      <c r="B200" s="60">
        <f t="shared" si="44"/>
        <v>15</v>
      </c>
      <c r="C200" s="60" t="s">
        <v>318</v>
      </c>
      <c r="D200" s="35" t="s">
        <v>319</v>
      </c>
      <c r="E200" s="36">
        <v>43646</v>
      </c>
      <c r="F200" s="37">
        <v>865.77919999999995</v>
      </c>
      <c r="G200" s="38">
        <v>10</v>
      </c>
      <c r="H200" s="39">
        <f t="shared" si="41"/>
        <v>86.577919999999992</v>
      </c>
      <c r="I200" s="37">
        <v>-97.438953999999995</v>
      </c>
      <c r="J200" s="37">
        <v>3713.19922</v>
      </c>
      <c r="K200" s="37">
        <v>2645.9891189999998</v>
      </c>
      <c r="L200" s="37">
        <v>220.93564000000001</v>
      </c>
      <c r="M200" s="37">
        <v>-1859.8052170000001</v>
      </c>
      <c r="N200" s="39">
        <f t="shared" si="42"/>
        <v>156.03689199999985</v>
      </c>
      <c r="O200" s="37">
        <v>-2015.8421089999999</v>
      </c>
      <c r="P200" s="40">
        <v>0</v>
      </c>
      <c r="Q200" s="40">
        <v>0</v>
      </c>
      <c r="R200" s="41">
        <f t="shared" si="43"/>
        <v>0</v>
      </c>
      <c r="S200" s="42">
        <v>2236</v>
      </c>
    </row>
    <row r="201" spans="2:19" ht="15.75" x14ac:dyDescent="0.25">
      <c r="B201" s="60">
        <f t="shared" si="44"/>
        <v>16</v>
      </c>
      <c r="C201" s="60" t="s">
        <v>320</v>
      </c>
      <c r="D201" s="35" t="s">
        <v>321</v>
      </c>
      <c r="E201" s="36">
        <v>43646</v>
      </c>
      <c r="F201" s="37">
        <v>198.52799999999999</v>
      </c>
      <c r="G201" s="38">
        <v>10</v>
      </c>
      <c r="H201" s="39">
        <f t="shared" si="41"/>
        <v>19.852799999999998</v>
      </c>
      <c r="I201" s="37">
        <v>1654.8724890000001</v>
      </c>
      <c r="J201" s="37">
        <v>4073.83257</v>
      </c>
      <c r="K201" s="37">
        <v>3471.5956409999999</v>
      </c>
      <c r="L201" s="37">
        <v>209.03447499999999</v>
      </c>
      <c r="M201" s="37">
        <v>66.125076000000007</v>
      </c>
      <c r="N201" s="39">
        <f t="shared" si="42"/>
        <v>33.811567000000004</v>
      </c>
      <c r="O201" s="37">
        <v>32.313509000000003</v>
      </c>
      <c r="P201" s="40">
        <v>0</v>
      </c>
      <c r="Q201" s="40">
        <v>0</v>
      </c>
      <c r="R201" s="41">
        <f t="shared" si="43"/>
        <v>0</v>
      </c>
      <c r="S201" s="42">
        <v>1455</v>
      </c>
    </row>
    <row r="202" spans="2:19" ht="15.75" x14ac:dyDescent="0.25">
      <c r="B202" s="60">
        <f t="shared" si="44"/>
        <v>17</v>
      </c>
      <c r="C202" s="60" t="s">
        <v>322</v>
      </c>
      <c r="D202" s="35" t="s">
        <v>323</v>
      </c>
      <c r="E202" s="36">
        <v>43646</v>
      </c>
      <c r="F202" s="37">
        <v>99.2</v>
      </c>
      <c r="G202" s="38">
        <v>10</v>
      </c>
      <c r="H202" s="39">
        <f t="shared" si="41"/>
        <v>9.92</v>
      </c>
      <c r="I202" s="37">
        <v>549.20500000000004</v>
      </c>
      <c r="J202" s="37">
        <v>2062.6849999999999</v>
      </c>
      <c r="K202" s="37">
        <v>3512.9349999999999</v>
      </c>
      <c r="L202" s="37">
        <v>120.352</v>
      </c>
      <c r="M202" s="37">
        <v>96.039000000000001</v>
      </c>
      <c r="N202" s="39">
        <f t="shared" si="42"/>
        <v>36.923999999999999</v>
      </c>
      <c r="O202" s="37">
        <v>59.115000000000002</v>
      </c>
      <c r="P202" s="40">
        <v>12</v>
      </c>
      <c r="Q202" s="40">
        <v>0</v>
      </c>
      <c r="R202" s="41">
        <f t="shared" si="43"/>
        <v>12</v>
      </c>
      <c r="S202" s="42">
        <v>1450</v>
      </c>
    </row>
    <row r="203" spans="2:19" ht="15.75" x14ac:dyDescent="0.25">
      <c r="B203" s="60">
        <f t="shared" si="44"/>
        <v>18</v>
      </c>
      <c r="C203" s="60" t="s">
        <v>324</v>
      </c>
      <c r="D203" s="35" t="s">
        <v>325</v>
      </c>
      <c r="E203" s="36">
        <v>43646</v>
      </c>
      <c r="F203" s="37">
        <v>180.73699999999999</v>
      </c>
      <c r="G203" s="38">
        <v>10</v>
      </c>
      <c r="H203" s="39">
        <f t="shared" si="41"/>
        <v>18.073699999999999</v>
      </c>
      <c r="I203" s="37">
        <v>12503.105</v>
      </c>
      <c r="J203" s="37">
        <v>22716.984</v>
      </c>
      <c r="K203" s="37">
        <v>24926.286</v>
      </c>
      <c r="L203" s="37">
        <v>433.21300000000002</v>
      </c>
      <c r="M203" s="37">
        <v>2047.663</v>
      </c>
      <c r="N203" s="39">
        <f t="shared" si="42"/>
        <v>323.40900000000011</v>
      </c>
      <c r="O203" s="37">
        <v>1724.2539999999999</v>
      </c>
      <c r="P203" s="40">
        <f>250</f>
        <v>250</v>
      </c>
      <c r="Q203" s="40">
        <v>0</v>
      </c>
      <c r="R203" s="41">
        <f t="shared" si="43"/>
        <v>250</v>
      </c>
      <c r="S203" s="42">
        <v>1218</v>
      </c>
    </row>
    <row r="204" spans="2:19" ht="15.75" x14ac:dyDescent="0.25">
      <c r="B204" s="60">
        <f t="shared" si="44"/>
        <v>19</v>
      </c>
      <c r="C204" s="60" t="s">
        <v>326</v>
      </c>
      <c r="D204" s="35" t="s">
        <v>327</v>
      </c>
      <c r="E204" s="36">
        <v>43646</v>
      </c>
      <c r="F204" s="37">
        <v>5</v>
      </c>
      <c r="G204" s="38">
        <v>10</v>
      </c>
      <c r="H204" s="39">
        <f t="shared" si="41"/>
        <v>0.5</v>
      </c>
      <c r="I204" s="37">
        <v>4352.6825849999996</v>
      </c>
      <c r="J204" s="37">
        <v>9890.1385750000009</v>
      </c>
      <c r="K204" s="37">
        <v>7557.2434730000004</v>
      </c>
      <c r="L204" s="37">
        <v>473.16153000000003</v>
      </c>
      <c r="M204" s="37">
        <v>226.46551199999999</v>
      </c>
      <c r="N204" s="39">
        <f t="shared" si="42"/>
        <v>41.736361999999986</v>
      </c>
      <c r="O204" s="37">
        <v>184.72915</v>
      </c>
      <c r="P204" s="40">
        <v>50</v>
      </c>
      <c r="Q204" s="40">
        <v>0</v>
      </c>
      <c r="R204" s="41">
        <f t="shared" si="43"/>
        <v>50</v>
      </c>
      <c r="S204" s="42">
        <v>409</v>
      </c>
    </row>
    <row r="205" spans="2:19" ht="15.75" x14ac:dyDescent="0.25">
      <c r="B205" s="60">
        <f t="shared" si="44"/>
        <v>20</v>
      </c>
      <c r="C205" s="60" t="s">
        <v>328</v>
      </c>
      <c r="D205" s="47" t="s">
        <v>329</v>
      </c>
      <c r="E205" s="36">
        <v>43646</v>
      </c>
      <c r="F205" s="70">
        <v>126.0116</v>
      </c>
      <c r="G205" s="71">
        <v>10</v>
      </c>
      <c r="H205" s="72">
        <f t="shared" si="41"/>
        <v>12.60116</v>
      </c>
      <c r="I205" s="70">
        <v>254.44811200000001</v>
      </c>
      <c r="J205" s="70">
        <v>587.13059599999997</v>
      </c>
      <c r="K205" s="70">
        <v>1098.2290820000001</v>
      </c>
      <c r="L205" s="70">
        <v>9.1024999999999995E-2</v>
      </c>
      <c r="M205" s="70">
        <v>14.8811</v>
      </c>
      <c r="N205" s="72">
        <f t="shared" si="42"/>
        <v>14.923508999999999</v>
      </c>
      <c r="O205" s="70">
        <v>-4.2409000000000002E-2</v>
      </c>
      <c r="P205" s="73">
        <v>0</v>
      </c>
      <c r="Q205" s="73">
        <v>0</v>
      </c>
      <c r="R205" s="74">
        <f t="shared" si="43"/>
        <v>0</v>
      </c>
      <c r="S205" s="75">
        <v>1727</v>
      </c>
    </row>
    <row r="206" spans="2:19" ht="15.75" x14ac:dyDescent="0.25">
      <c r="B206" s="60">
        <f t="shared" si="44"/>
        <v>21</v>
      </c>
      <c r="C206" s="60" t="s">
        <v>330</v>
      </c>
      <c r="D206" s="35" t="s">
        <v>331</v>
      </c>
      <c r="E206" s="36">
        <v>43646</v>
      </c>
      <c r="F206" s="37">
        <v>47.847999999999999</v>
      </c>
      <c r="G206" s="38">
        <v>10</v>
      </c>
      <c r="H206" s="39">
        <f t="shared" si="41"/>
        <v>4.7847999999999997</v>
      </c>
      <c r="I206" s="37">
        <v>3246.7530000000002</v>
      </c>
      <c r="J206" s="37">
        <v>4682.0619999999999</v>
      </c>
      <c r="K206" s="37">
        <v>3379.6640000000002</v>
      </c>
      <c r="L206" s="37">
        <v>97.061000000000007</v>
      </c>
      <c r="M206" s="37">
        <v>41.271999999999998</v>
      </c>
      <c r="N206" s="39">
        <f t="shared" si="42"/>
        <v>34.975999999999999</v>
      </c>
      <c r="O206" s="37">
        <v>6.2960000000000003</v>
      </c>
      <c r="P206" s="40">
        <v>0</v>
      </c>
      <c r="Q206" s="40">
        <v>0</v>
      </c>
      <c r="R206" s="41">
        <f t="shared" si="43"/>
        <v>0</v>
      </c>
      <c r="S206" s="42">
        <v>1155</v>
      </c>
    </row>
    <row r="207" spans="2:19" ht="15.75" x14ac:dyDescent="0.25">
      <c r="B207" s="60">
        <f t="shared" si="44"/>
        <v>22</v>
      </c>
      <c r="C207" s="60" t="s">
        <v>332</v>
      </c>
      <c r="D207" s="35" t="s">
        <v>333</v>
      </c>
      <c r="E207" s="36">
        <v>43646</v>
      </c>
      <c r="F207" s="37">
        <v>730.83900000000006</v>
      </c>
      <c r="G207" s="38">
        <v>10</v>
      </c>
      <c r="H207" s="39">
        <f t="shared" si="41"/>
        <v>73.0839</v>
      </c>
      <c r="I207" s="37">
        <v>4257.7740000000003</v>
      </c>
      <c r="J207" s="37">
        <v>9495.4930000000004</v>
      </c>
      <c r="K207" s="37">
        <v>13687.117</v>
      </c>
      <c r="L207" s="37">
        <v>386.48399999999998</v>
      </c>
      <c r="M207" s="37">
        <v>893.53599999999994</v>
      </c>
      <c r="N207" s="39">
        <f t="shared" si="42"/>
        <v>177.18599999999992</v>
      </c>
      <c r="O207" s="37">
        <v>716.35</v>
      </c>
      <c r="P207" s="40">
        <v>20</v>
      </c>
      <c r="Q207" s="40">
        <v>0</v>
      </c>
      <c r="R207" s="41">
        <f t="shared" si="43"/>
        <v>20</v>
      </c>
      <c r="S207" s="42">
        <v>255</v>
      </c>
    </row>
    <row r="208" spans="2:19" ht="15.75" x14ac:dyDescent="0.25">
      <c r="B208" s="60">
        <f t="shared" si="44"/>
        <v>23</v>
      </c>
      <c r="C208" s="60" t="s">
        <v>334</v>
      </c>
      <c r="D208" s="35" t="s">
        <v>335</v>
      </c>
      <c r="E208" s="36">
        <v>43646</v>
      </c>
      <c r="F208" s="37">
        <v>131.74799999999999</v>
      </c>
      <c r="G208" s="38">
        <v>10</v>
      </c>
      <c r="H208" s="39">
        <f t="shared" si="41"/>
        <v>13.174799999999999</v>
      </c>
      <c r="I208" s="37">
        <v>-163.833</v>
      </c>
      <c r="J208" s="37">
        <v>375.23599999999999</v>
      </c>
      <c r="K208" s="37">
        <v>30</v>
      </c>
      <c r="L208" s="37">
        <v>22.08</v>
      </c>
      <c r="M208" s="37">
        <v>-22.408000000000001</v>
      </c>
      <c r="N208" s="39">
        <f t="shared" si="42"/>
        <v>-7.9530000000000012</v>
      </c>
      <c r="O208" s="37">
        <v>-14.455</v>
      </c>
      <c r="P208" s="40">
        <v>0</v>
      </c>
      <c r="Q208" s="40">
        <v>0</v>
      </c>
      <c r="R208" s="41">
        <f t="shared" si="43"/>
        <v>0</v>
      </c>
      <c r="S208" s="42">
        <v>1808</v>
      </c>
    </row>
    <row r="209" spans="2:19" ht="15.75" x14ac:dyDescent="0.25">
      <c r="B209" s="60">
        <f t="shared" si="44"/>
        <v>24</v>
      </c>
      <c r="C209" s="60" t="s">
        <v>336</v>
      </c>
      <c r="D209" s="47" t="s">
        <v>337</v>
      </c>
      <c r="E209" s="36">
        <v>43646</v>
      </c>
      <c r="F209" s="70">
        <v>208</v>
      </c>
      <c r="G209" s="71">
        <v>10</v>
      </c>
      <c r="H209" s="72">
        <f t="shared" si="41"/>
        <v>20.8</v>
      </c>
      <c r="I209" s="70">
        <v>1707.895</v>
      </c>
      <c r="J209" s="70">
        <v>3514.1849999999999</v>
      </c>
      <c r="K209" s="70">
        <v>2966.4569999999999</v>
      </c>
      <c r="L209" s="70">
        <v>115.95699999999999</v>
      </c>
      <c r="M209" s="70">
        <v>86.233999999999995</v>
      </c>
      <c r="N209" s="72">
        <f t="shared" si="42"/>
        <v>19.268999999999991</v>
      </c>
      <c r="O209" s="70">
        <v>66.965000000000003</v>
      </c>
      <c r="P209" s="73">
        <v>10</v>
      </c>
      <c r="Q209" s="73">
        <v>0</v>
      </c>
      <c r="R209" s="74">
        <f t="shared" si="43"/>
        <v>10</v>
      </c>
      <c r="S209" s="75">
        <v>758</v>
      </c>
    </row>
    <row r="210" spans="2:19" ht="15.75" x14ac:dyDescent="0.25">
      <c r="B210" s="60">
        <f t="shared" si="44"/>
        <v>25</v>
      </c>
      <c r="C210" s="60" t="s">
        <v>338</v>
      </c>
      <c r="D210" s="35" t="s">
        <v>339</v>
      </c>
      <c r="E210" s="36">
        <v>43646</v>
      </c>
      <c r="F210" s="37">
        <v>1078.5714250000001</v>
      </c>
      <c r="G210" s="38">
        <v>5</v>
      </c>
      <c r="H210" s="39">
        <f t="shared" si="41"/>
        <v>215.71428500000002</v>
      </c>
      <c r="I210" s="37">
        <v>-447.241218</v>
      </c>
      <c r="J210" s="37">
        <v>2899.8596309999998</v>
      </c>
      <c r="K210" s="37">
        <v>4260.538818</v>
      </c>
      <c r="L210" s="37">
        <v>174.63694000000001</v>
      </c>
      <c r="M210" s="37">
        <v>-306.496172</v>
      </c>
      <c r="N210" s="39">
        <f t="shared" si="42"/>
        <v>32.906611999999996</v>
      </c>
      <c r="O210" s="37">
        <v>-339.402784</v>
      </c>
      <c r="P210" s="40">
        <v>0</v>
      </c>
      <c r="Q210" s="40">
        <v>0</v>
      </c>
      <c r="R210" s="41">
        <f t="shared" si="43"/>
        <v>0</v>
      </c>
      <c r="S210" s="42">
        <v>2759</v>
      </c>
    </row>
    <row r="211" spans="2:19" ht="15.75" x14ac:dyDescent="0.25">
      <c r="B211" s="60">
        <f t="shared" si="44"/>
        <v>26</v>
      </c>
      <c r="C211" s="60" t="s">
        <v>340</v>
      </c>
      <c r="D211" s="35" t="s">
        <v>341</v>
      </c>
      <c r="E211" s="36">
        <v>43646</v>
      </c>
      <c r="F211" s="37">
        <v>168</v>
      </c>
      <c r="G211" s="38">
        <v>10</v>
      </c>
      <c r="H211" s="39">
        <f t="shared" si="41"/>
        <v>16.8</v>
      </c>
      <c r="I211" s="37">
        <v>1893.893564</v>
      </c>
      <c r="J211" s="37">
        <v>4786.114227</v>
      </c>
      <c r="K211" s="37">
        <v>6234.7622890000002</v>
      </c>
      <c r="L211" s="37">
        <v>171.68490600000001</v>
      </c>
      <c r="M211" s="37">
        <v>160.183199</v>
      </c>
      <c r="N211" s="39">
        <f t="shared" si="42"/>
        <v>87.346693000000002</v>
      </c>
      <c r="O211" s="37">
        <v>72.836506</v>
      </c>
      <c r="P211" s="40">
        <v>17.5</v>
      </c>
      <c r="Q211" s="40">
        <v>0</v>
      </c>
      <c r="R211" s="41">
        <f t="shared" ref="R211:R225" si="45">SUM(P211:Q211)</f>
        <v>17.5</v>
      </c>
      <c r="S211" s="42">
        <v>590</v>
      </c>
    </row>
    <row r="212" spans="2:19" ht="15.75" x14ac:dyDescent="0.25">
      <c r="B212" s="60">
        <f t="shared" si="44"/>
        <v>27</v>
      </c>
      <c r="C212" s="60" t="s">
        <v>342</v>
      </c>
      <c r="D212" s="35" t="s">
        <v>343</v>
      </c>
      <c r="E212" s="36">
        <v>43646</v>
      </c>
      <c r="F212" s="37">
        <v>187</v>
      </c>
      <c r="G212" s="38">
        <v>10</v>
      </c>
      <c r="H212" s="39">
        <f t="shared" si="41"/>
        <v>18.7</v>
      </c>
      <c r="I212" s="37">
        <v>2023.913059</v>
      </c>
      <c r="J212" s="37">
        <v>5816.7964849999998</v>
      </c>
      <c r="K212" s="37">
        <v>6932.309534</v>
      </c>
      <c r="L212" s="37">
        <v>213.39830699999999</v>
      </c>
      <c r="M212" s="37">
        <v>361.12629199999998</v>
      </c>
      <c r="N212" s="39">
        <f t="shared" si="42"/>
        <v>52.506629999999973</v>
      </c>
      <c r="O212" s="37">
        <v>308.61966200000001</v>
      </c>
      <c r="P212" s="40">
        <v>50</v>
      </c>
      <c r="Q212" s="40">
        <v>0</v>
      </c>
      <c r="R212" s="41">
        <f t="shared" si="45"/>
        <v>50</v>
      </c>
      <c r="S212" s="42">
        <v>934</v>
      </c>
    </row>
    <row r="213" spans="2:19" ht="15.75" x14ac:dyDescent="0.25">
      <c r="B213" s="60">
        <f t="shared" si="44"/>
        <v>28</v>
      </c>
      <c r="C213" s="60" t="s">
        <v>344</v>
      </c>
      <c r="D213" s="35" t="s">
        <v>345</v>
      </c>
      <c r="E213" s="36">
        <v>43646</v>
      </c>
      <c r="F213" s="37">
        <v>192.11985000000001</v>
      </c>
      <c r="G213" s="38">
        <v>10</v>
      </c>
      <c r="H213" s="39">
        <f t="shared" si="41"/>
        <v>19.211985000000002</v>
      </c>
      <c r="I213" s="37">
        <v>1220.3054279999999</v>
      </c>
      <c r="J213" s="37">
        <v>4216.3591909999996</v>
      </c>
      <c r="K213" s="37">
        <v>7186.0976110000001</v>
      </c>
      <c r="L213" s="37">
        <v>246.75435200000001</v>
      </c>
      <c r="M213" s="37">
        <v>322.69088799999997</v>
      </c>
      <c r="N213" s="39">
        <f t="shared" si="42"/>
        <v>122.53070699999998</v>
      </c>
      <c r="O213" s="37">
        <v>200.16018099999999</v>
      </c>
      <c r="P213" s="40">
        <v>21</v>
      </c>
      <c r="Q213" s="40">
        <v>0</v>
      </c>
      <c r="R213" s="41">
        <f t="shared" si="45"/>
        <v>21</v>
      </c>
      <c r="S213" s="42">
        <v>41</v>
      </c>
    </row>
    <row r="214" spans="2:19" ht="15.75" x14ac:dyDescent="0.25">
      <c r="B214" s="60">
        <f t="shared" si="44"/>
        <v>29</v>
      </c>
      <c r="C214" s="60" t="s">
        <v>346</v>
      </c>
      <c r="D214" s="35" t="s">
        <v>347</v>
      </c>
      <c r="E214" s="36">
        <v>43646</v>
      </c>
      <c r="F214" s="37">
        <v>61.63</v>
      </c>
      <c r="G214" s="38">
        <v>10</v>
      </c>
      <c r="H214" s="39">
        <f t="shared" si="41"/>
        <v>6.1630000000000003</v>
      </c>
      <c r="I214" s="37">
        <v>2128.9018620000002</v>
      </c>
      <c r="J214" s="37">
        <v>7865.6950850000003</v>
      </c>
      <c r="K214" s="37">
        <v>8492.1990659999992</v>
      </c>
      <c r="L214" s="37">
        <v>397.41823599999998</v>
      </c>
      <c r="M214" s="37">
        <v>531.33920000000001</v>
      </c>
      <c r="N214" s="39">
        <f t="shared" si="42"/>
        <v>69.683725999999979</v>
      </c>
      <c r="O214" s="37">
        <v>461.65547400000003</v>
      </c>
      <c r="P214" s="40">
        <v>225</v>
      </c>
      <c r="Q214" s="40">
        <v>0</v>
      </c>
      <c r="R214" s="41">
        <f t="shared" si="45"/>
        <v>225</v>
      </c>
      <c r="S214" s="42">
        <v>769</v>
      </c>
    </row>
    <row r="215" spans="2:19" ht="15.75" x14ac:dyDescent="0.25">
      <c r="B215" s="60">
        <f t="shared" si="44"/>
        <v>30</v>
      </c>
      <c r="C215" s="60" t="s">
        <v>348</v>
      </c>
      <c r="D215" s="35" t="s">
        <v>349</v>
      </c>
      <c r="E215" s="36">
        <v>43646</v>
      </c>
      <c r="F215" s="37">
        <v>102.92</v>
      </c>
      <c r="G215" s="38">
        <v>10</v>
      </c>
      <c r="H215" s="39">
        <f t="shared" si="41"/>
        <v>10.292</v>
      </c>
      <c r="I215" s="37">
        <v>2169.1885579999998</v>
      </c>
      <c r="J215" s="37">
        <v>5350.0500730000003</v>
      </c>
      <c r="K215" s="37">
        <v>5379.009395</v>
      </c>
      <c r="L215" s="37">
        <v>221.129017</v>
      </c>
      <c r="M215" s="37">
        <v>417.19774100000001</v>
      </c>
      <c r="N215" s="39">
        <f t="shared" si="42"/>
        <v>26.515321000000029</v>
      </c>
      <c r="O215" s="37">
        <v>390.68241999999998</v>
      </c>
      <c r="P215" s="40">
        <v>80</v>
      </c>
      <c r="Q215" s="40">
        <v>0</v>
      </c>
      <c r="R215" s="41">
        <f t="shared" si="45"/>
        <v>80</v>
      </c>
      <c r="S215" s="42">
        <v>510</v>
      </c>
    </row>
    <row r="216" spans="2:19" ht="15.75" x14ac:dyDescent="0.25">
      <c r="B216" s="60">
        <f t="shared" si="44"/>
        <v>31</v>
      </c>
      <c r="C216" s="60" t="s">
        <v>350</v>
      </c>
      <c r="D216" s="35" t="s">
        <v>351</v>
      </c>
      <c r="E216" s="36">
        <v>43646</v>
      </c>
      <c r="F216" s="37">
        <v>522.14400000000001</v>
      </c>
      <c r="G216" s="38">
        <v>10</v>
      </c>
      <c r="H216" s="39">
        <f t="shared" si="41"/>
        <v>52.214399999999998</v>
      </c>
      <c r="I216" s="37">
        <v>117.5664</v>
      </c>
      <c r="J216" s="37">
        <v>1158.408175</v>
      </c>
      <c r="K216" s="37">
        <v>719.481132</v>
      </c>
      <c r="L216" s="37">
        <v>83.447427000000005</v>
      </c>
      <c r="M216" s="37">
        <v>-100.314796</v>
      </c>
      <c r="N216" s="39">
        <f t="shared" si="42"/>
        <v>9.4802370000000025</v>
      </c>
      <c r="O216" s="37">
        <v>-109.795033</v>
      </c>
      <c r="P216" s="40">
        <v>0</v>
      </c>
      <c r="Q216" s="40">
        <v>0</v>
      </c>
      <c r="R216" s="41">
        <f t="shared" si="45"/>
        <v>0</v>
      </c>
      <c r="S216" s="42">
        <v>1004</v>
      </c>
    </row>
    <row r="217" spans="2:19" ht="15.75" x14ac:dyDescent="0.25">
      <c r="B217" s="60">
        <f t="shared" si="44"/>
        <v>32</v>
      </c>
      <c r="C217" s="60" t="s">
        <v>352</v>
      </c>
      <c r="D217" s="35" t="s">
        <v>353</v>
      </c>
      <c r="E217" s="36">
        <v>43646</v>
      </c>
      <c r="F217" s="37">
        <v>264.12900000000002</v>
      </c>
      <c r="G217" s="38">
        <v>10</v>
      </c>
      <c r="H217" s="39">
        <f t="shared" si="41"/>
        <v>26.4129</v>
      </c>
      <c r="I217" s="37">
        <v>3198.422</v>
      </c>
      <c r="J217" s="37">
        <v>10002.748</v>
      </c>
      <c r="K217" s="37">
        <v>8975.8420000000006</v>
      </c>
      <c r="L217" s="37">
        <v>595.46400000000006</v>
      </c>
      <c r="M217" s="37">
        <v>919.43499999999995</v>
      </c>
      <c r="N217" s="39">
        <f t="shared" si="42"/>
        <v>89.115999999999985</v>
      </c>
      <c r="O217" s="37">
        <v>830.31899999999996</v>
      </c>
      <c r="P217" s="40">
        <v>10</v>
      </c>
      <c r="Q217" s="40">
        <v>0</v>
      </c>
      <c r="R217" s="41">
        <f t="shared" si="45"/>
        <v>10</v>
      </c>
      <c r="S217" s="42">
        <v>1414</v>
      </c>
    </row>
    <row r="218" spans="2:19" ht="15.75" x14ac:dyDescent="0.25">
      <c r="B218" s="60">
        <f t="shared" si="44"/>
        <v>33</v>
      </c>
      <c r="C218" s="60" t="s">
        <v>354</v>
      </c>
      <c r="D218" s="35" t="s">
        <v>355</v>
      </c>
      <c r="E218" s="36">
        <v>43646</v>
      </c>
      <c r="F218" s="37">
        <v>33.425699999999999</v>
      </c>
      <c r="G218" s="38">
        <v>10</v>
      </c>
      <c r="H218" s="39">
        <f t="shared" si="41"/>
        <v>3.3425699999999998</v>
      </c>
      <c r="I218" s="37">
        <v>4313.7517820000003</v>
      </c>
      <c r="J218" s="37">
        <v>8472.0897860000005</v>
      </c>
      <c r="K218" s="37">
        <v>6770.6289489999999</v>
      </c>
      <c r="L218" s="37">
        <v>345.35274099999998</v>
      </c>
      <c r="M218" s="37">
        <v>-95.666297999999998</v>
      </c>
      <c r="N218" s="39">
        <f t="shared" si="42"/>
        <v>-8.7515410000000031</v>
      </c>
      <c r="O218" s="37">
        <v>-86.914756999999994</v>
      </c>
      <c r="P218" s="40">
        <v>0</v>
      </c>
      <c r="Q218" s="40">
        <v>0</v>
      </c>
      <c r="R218" s="41">
        <f t="shared" si="45"/>
        <v>0</v>
      </c>
      <c r="S218" s="42">
        <v>973</v>
      </c>
    </row>
    <row r="219" spans="2:19" ht="15.75" x14ac:dyDescent="0.25">
      <c r="B219" s="60">
        <f t="shared" si="44"/>
        <v>34</v>
      </c>
      <c r="C219" s="60" t="s">
        <v>356</v>
      </c>
      <c r="D219" s="35" t="s">
        <v>357</v>
      </c>
      <c r="E219" s="36">
        <v>43646</v>
      </c>
      <c r="F219" s="37">
        <v>44.491590000000002</v>
      </c>
      <c r="G219" s="38">
        <v>10</v>
      </c>
      <c r="H219" s="39">
        <f t="shared" si="41"/>
        <v>4.4491589999999999</v>
      </c>
      <c r="I219" s="37">
        <v>571.51664500000004</v>
      </c>
      <c r="J219" s="37">
        <v>811.05921599999999</v>
      </c>
      <c r="K219" s="37">
        <v>974.95334100000002</v>
      </c>
      <c r="L219" s="37">
        <v>7.0319019999999997</v>
      </c>
      <c r="M219" s="37">
        <v>42.757556000000001</v>
      </c>
      <c r="N219" s="39">
        <f t="shared" si="42"/>
        <v>5.6439519999999987</v>
      </c>
      <c r="O219" s="37">
        <v>37.113604000000002</v>
      </c>
      <c r="P219" s="40">
        <v>10</v>
      </c>
      <c r="Q219" s="40">
        <v>0</v>
      </c>
      <c r="R219" s="41">
        <f t="shared" si="45"/>
        <v>10</v>
      </c>
      <c r="S219" s="42">
        <v>1288</v>
      </c>
    </row>
    <row r="220" spans="2:19" ht="15.75" x14ac:dyDescent="0.25">
      <c r="B220" s="60">
        <f t="shared" si="44"/>
        <v>35</v>
      </c>
      <c r="C220" s="60" t="s">
        <v>358</v>
      </c>
      <c r="D220" s="35" t="s">
        <v>359</v>
      </c>
      <c r="E220" s="36">
        <v>43646</v>
      </c>
      <c r="F220" s="37">
        <v>176.36718999999999</v>
      </c>
      <c r="G220" s="38">
        <v>10</v>
      </c>
      <c r="H220" s="39">
        <f t="shared" si="41"/>
        <v>17.636718999999999</v>
      </c>
      <c r="I220" s="37">
        <v>500.53663699999998</v>
      </c>
      <c r="J220" s="37">
        <v>1249.8529470000001</v>
      </c>
      <c r="K220" s="37">
        <v>431.00565699999999</v>
      </c>
      <c r="L220" s="37">
        <v>0.27718799999999999</v>
      </c>
      <c r="M220" s="37">
        <v>17.773263</v>
      </c>
      <c r="N220" s="39">
        <f t="shared" si="42"/>
        <v>5.1316939999999995</v>
      </c>
      <c r="O220" s="37">
        <v>12.641569</v>
      </c>
      <c r="P220" s="40">
        <v>0</v>
      </c>
      <c r="Q220" s="40">
        <v>0</v>
      </c>
      <c r="R220" s="41">
        <f t="shared" si="45"/>
        <v>0</v>
      </c>
      <c r="S220" s="42">
        <v>1139</v>
      </c>
    </row>
    <row r="221" spans="2:19" ht="15.75" x14ac:dyDescent="0.25">
      <c r="B221" s="60">
        <f t="shared" si="44"/>
        <v>36</v>
      </c>
      <c r="C221" s="60" t="s">
        <v>360</v>
      </c>
      <c r="D221" s="35" t="s">
        <v>361</v>
      </c>
      <c r="E221" s="36">
        <v>43646</v>
      </c>
      <c r="F221" s="37">
        <v>30</v>
      </c>
      <c r="G221" s="38">
        <v>10</v>
      </c>
      <c r="H221" s="39">
        <f t="shared" si="41"/>
        <v>3</v>
      </c>
      <c r="I221" s="37">
        <v>489.35399999999998</v>
      </c>
      <c r="J221" s="37">
        <v>779.02800000000002</v>
      </c>
      <c r="K221" s="37">
        <v>2813.43</v>
      </c>
      <c r="L221" s="37">
        <v>10.183</v>
      </c>
      <c r="M221" s="37">
        <v>108.648</v>
      </c>
      <c r="N221" s="39">
        <f t="shared" si="42"/>
        <v>30.602999999999994</v>
      </c>
      <c r="O221" s="37">
        <v>78.045000000000002</v>
      </c>
      <c r="P221" s="40">
        <v>52</v>
      </c>
      <c r="Q221" s="40">
        <v>0</v>
      </c>
      <c r="R221" s="41">
        <f t="shared" si="45"/>
        <v>52</v>
      </c>
      <c r="S221" s="42">
        <v>251</v>
      </c>
    </row>
    <row r="222" spans="2:19" ht="15.75" x14ac:dyDescent="0.25">
      <c r="B222" s="60">
        <f t="shared" si="44"/>
        <v>37</v>
      </c>
      <c r="C222" s="60" t="s">
        <v>362</v>
      </c>
      <c r="D222" s="35" t="s">
        <v>363</v>
      </c>
      <c r="E222" s="36">
        <v>43646</v>
      </c>
      <c r="F222" s="37">
        <v>85.9375</v>
      </c>
      <c r="G222" s="38">
        <v>10</v>
      </c>
      <c r="H222" s="39">
        <f t="shared" si="41"/>
        <v>8.59375</v>
      </c>
      <c r="I222" s="37">
        <v>365.327065</v>
      </c>
      <c r="J222" s="37">
        <v>1184.6098360000001</v>
      </c>
      <c r="K222" s="37">
        <v>2002.240706</v>
      </c>
      <c r="L222" s="37">
        <v>63.316578999999997</v>
      </c>
      <c r="M222" s="37">
        <v>79.738619999999997</v>
      </c>
      <c r="N222" s="39">
        <f t="shared" si="42"/>
        <v>14.514583000000002</v>
      </c>
      <c r="O222" s="37">
        <v>65.224036999999996</v>
      </c>
      <c r="P222" s="40">
        <v>25</v>
      </c>
      <c r="Q222" s="40">
        <v>0</v>
      </c>
      <c r="R222" s="41">
        <f t="shared" si="45"/>
        <v>25</v>
      </c>
      <c r="S222" s="42">
        <v>515</v>
      </c>
    </row>
    <row r="223" spans="2:19" ht="15.75" x14ac:dyDescent="0.25">
      <c r="B223" s="60">
        <f t="shared" si="44"/>
        <v>38</v>
      </c>
      <c r="C223" s="60" t="s">
        <v>364</v>
      </c>
      <c r="D223" s="35" t="s">
        <v>365</v>
      </c>
      <c r="E223" s="36">
        <v>43646</v>
      </c>
      <c r="F223" s="37">
        <v>69</v>
      </c>
      <c r="G223" s="38">
        <v>10</v>
      </c>
      <c r="H223" s="39">
        <f t="shared" si="41"/>
        <v>6.9</v>
      </c>
      <c r="I223" s="37">
        <v>3196.1285939999998</v>
      </c>
      <c r="J223" s="37">
        <v>6042.4264169999997</v>
      </c>
      <c r="K223" s="37">
        <v>6085.2583320000003</v>
      </c>
      <c r="L223" s="37">
        <v>219.81151700000001</v>
      </c>
      <c r="M223" s="37">
        <v>474.97880099999998</v>
      </c>
      <c r="N223" s="39">
        <f t="shared" si="42"/>
        <v>3.2011789999999678</v>
      </c>
      <c r="O223" s="37">
        <v>471.77762200000001</v>
      </c>
      <c r="P223" s="40">
        <f>250</f>
        <v>250</v>
      </c>
      <c r="Q223" s="40">
        <v>0</v>
      </c>
      <c r="R223" s="41">
        <f t="shared" si="45"/>
        <v>250</v>
      </c>
      <c r="S223" s="42">
        <v>1568</v>
      </c>
    </row>
    <row r="224" spans="2:19" ht="15.75" x14ac:dyDescent="0.25">
      <c r="B224" s="60">
        <f t="shared" si="44"/>
        <v>39</v>
      </c>
      <c r="C224" s="60" t="s">
        <v>366</v>
      </c>
      <c r="D224" s="35" t="s">
        <v>367</v>
      </c>
      <c r="E224" s="36">
        <v>43646</v>
      </c>
      <c r="F224" s="37">
        <v>179.71372</v>
      </c>
      <c r="G224" s="38">
        <v>10</v>
      </c>
      <c r="H224" s="39">
        <f t="shared" si="41"/>
        <v>17.971371999999999</v>
      </c>
      <c r="I224" s="37">
        <v>2223.8563519999998</v>
      </c>
      <c r="J224" s="37">
        <v>3659.892926</v>
      </c>
      <c r="K224" s="37">
        <v>6071.4917059999998</v>
      </c>
      <c r="L224" s="37">
        <v>58.192075000000003</v>
      </c>
      <c r="M224" s="37">
        <v>188.59304499999999</v>
      </c>
      <c r="N224" s="39">
        <f t="shared" si="42"/>
        <v>57.866929999999996</v>
      </c>
      <c r="O224" s="37">
        <v>130.72611499999999</v>
      </c>
      <c r="P224" s="40">
        <v>15</v>
      </c>
      <c r="Q224" s="40">
        <v>0</v>
      </c>
      <c r="R224" s="41">
        <f t="shared" si="45"/>
        <v>15</v>
      </c>
      <c r="S224" s="42">
        <v>780</v>
      </c>
    </row>
    <row r="225" spans="2:19" ht="15.75" x14ac:dyDescent="0.25">
      <c r="B225" s="60">
        <f t="shared" si="44"/>
        <v>40</v>
      </c>
      <c r="C225" s="60" t="s">
        <v>368</v>
      </c>
      <c r="D225" s="35" t="s">
        <v>369</v>
      </c>
      <c r="E225" s="36">
        <v>43646</v>
      </c>
      <c r="F225" s="37">
        <v>173.2475</v>
      </c>
      <c r="G225" s="38">
        <v>10</v>
      </c>
      <c r="H225" s="39">
        <f t="shared" si="41"/>
        <v>17.324750000000002</v>
      </c>
      <c r="I225" s="37">
        <v>4470.1332689999999</v>
      </c>
      <c r="J225" s="37">
        <v>8088.5232470000001</v>
      </c>
      <c r="K225" s="37">
        <v>6727.4194319999997</v>
      </c>
      <c r="L225" s="37">
        <v>280.67492199999998</v>
      </c>
      <c r="M225" s="37">
        <v>108.23596499999999</v>
      </c>
      <c r="N225" s="39">
        <f t="shared" si="42"/>
        <v>75.426453999999993</v>
      </c>
      <c r="O225" s="37">
        <v>32.809511000000001</v>
      </c>
      <c r="P225" s="40">
        <v>5</v>
      </c>
      <c r="Q225" s="40">
        <v>0</v>
      </c>
      <c r="R225" s="41">
        <f t="shared" si="45"/>
        <v>5</v>
      </c>
      <c r="S225" s="42">
        <v>2020</v>
      </c>
    </row>
    <row r="226" spans="2:19" ht="15.75" x14ac:dyDescent="0.25">
      <c r="B226" s="76"/>
      <c r="C226" s="76"/>
      <c r="D226" s="77"/>
      <c r="E226" s="64"/>
      <c r="F226" s="78"/>
      <c r="G226" s="43"/>
      <c r="H226" s="79"/>
      <c r="I226" s="78"/>
      <c r="J226" s="78"/>
      <c r="K226" s="78"/>
      <c r="L226" s="78"/>
      <c r="M226" s="78"/>
      <c r="N226" s="79"/>
      <c r="O226" s="78"/>
      <c r="P226" s="80"/>
      <c r="Q226" s="80"/>
      <c r="R226" s="81"/>
      <c r="S226" s="82"/>
    </row>
    <row r="227" spans="2:19" ht="18.75" x14ac:dyDescent="0.3">
      <c r="B227" s="29"/>
      <c r="C227" s="29"/>
      <c r="D227" s="56" t="s">
        <v>43</v>
      </c>
      <c r="E227" s="29"/>
      <c r="F227" s="29"/>
      <c r="G227" s="43"/>
      <c r="H227" s="44"/>
      <c r="I227" s="31"/>
      <c r="J227" s="31"/>
      <c r="K227" s="31"/>
      <c r="L227" s="31"/>
      <c r="M227" s="31"/>
      <c r="N227" s="45"/>
      <c r="O227" s="31"/>
      <c r="P227" s="31"/>
      <c r="Q227" s="31"/>
      <c r="R227" s="45"/>
      <c r="S227" s="31"/>
    </row>
    <row r="228" spans="2:19" ht="15.75" x14ac:dyDescent="0.25">
      <c r="B228" s="60">
        <v>1</v>
      </c>
      <c r="C228" s="60" t="s">
        <v>370</v>
      </c>
      <c r="D228" s="35" t="s">
        <v>371</v>
      </c>
      <c r="E228" s="36">
        <v>43646</v>
      </c>
      <c r="F228" s="37">
        <v>229.93294</v>
      </c>
      <c r="G228" s="38">
        <v>10</v>
      </c>
      <c r="H228" s="39">
        <f t="shared" ref="H228:H257" si="46">+F228/G228</f>
        <v>22.993293999999999</v>
      </c>
      <c r="I228" s="37">
        <v>242.693107</v>
      </c>
      <c r="J228" s="37">
        <v>250.217524</v>
      </c>
      <c r="K228" s="37">
        <v>0</v>
      </c>
      <c r="L228" s="37">
        <v>0.135906</v>
      </c>
      <c r="M228" s="37">
        <v>6.7376860000000001</v>
      </c>
      <c r="N228" s="39">
        <f t="shared" ref="N228:N257" si="47">+M228-O228</f>
        <v>1.9539290000000005</v>
      </c>
      <c r="O228" s="37">
        <v>4.7837569999999996</v>
      </c>
      <c r="P228" s="40">
        <v>0</v>
      </c>
      <c r="Q228" s="40">
        <v>0</v>
      </c>
      <c r="R228" s="41">
        <f t="shared" ref="R228:R257" si="48">SUM(P228:Q228)</f>
        <v>0</v>
      </c>
      <c r="S228" s="42">
        <v>593</v>
      </c>
    </row>
    <row r="229" spans="2:19" ht="15.75" x14ac:dyDescent="0.25">
      <c r="B229" s="60">
        <f>+B228+1</f>
        <v>2</v>
      </c>
      <c r="C229" s="60" t="s">
        <v>372</v>
      </c>
      <c r="D229" s="35" t="s">
        <v>373</v>
      </c>
      <c r="E229" s="36">
        <v>43646</v>
      </c>
      <c r="F229" s="37">
        <v>222.13346999999999</v>
      </c>
      <c r="G229" s="38">
        <v>5</v>
      </c>
      <c r="H229" s="39">
        <f t="shared" si="46"/>
        <v>44.426693999999998</v>
      </c>
      <c r="I229" s="37">
        <v>319.11253399999998</v>
      </c>
      <c r="J229" s="37">
        <v>412.34677199999999</v>
      </c>
      <c r="K229" s="37">
        <v>11.17328</v>
      </c>
      <c r="L229" s="37">
        <v>3.8559000000000003E-2</v>
      </c>
      <c r="M229" s="37">
        <v>-11.690626</v>
      </c>
      <c r="N229" s="39">
        <f t="shared" si="47"/>
        <v>1.1954480000000007</v>
      </c>
      <c r="O229" s="37">
        <v>-12.886074000000001</v>
      </c>
      <c r="P229" s="40">
        <v>0</v>
      </c>
      <c r="Q229" s="40">
        <v>0</v>
      </c>
      <c r="R229" s="41">
        <f t="shared" si="48"/>
        <v>0</v>
      </c>
      <c r="S229" s="42">
        <v>1094</v>
      </c>
    </row>
    <row r="230" spans="2:19" ht="15.75" x14ac:dyDescent="0.25">
      <c r="B230" s="60">
        <f>+B229+1</f>
        <v>3</v>
      </c>
      <c r="C230" s="60" t="s">
        <v>374</v>
      </c>
      <c r="D230" s="35" t="s">
        <v>375</v>
      </c>
      <c r="E230" s="36">
        <v>43646</v>
      </c>
      <c r="F230" s="37">
        <v>2594.30134</v>
      </c>
      <c r="G230" s="38">
        <v>10</v>
      </c>
      <c r="H230" s="39">
        <f t="shared" si="46"/>
        <v>259.43013400000001</v>
      </c>
      <c r="I230" s="37">
        <v>-8352.9553639999995</v>
      </c>
      <c r="J230" s="37">
        <v>4377.8685390000001</v>
      </c>
      <c r="K230" s="37">
        <v>629.53557599999999</v>
      </c>
      <c r="L230" s="37">
        <v>182.31041200000001</v>
      </c>
      <c r="M230" s="37">
        <v>-252.57916399999999</v>
      </c>
      <c r="N230" s="39">
        <f t="shared" si="47"/>
        <v>10.139790000000005</v>
      </c>
      <c r="O230" s="37">
        <v>-262.718954</v>
      </c>
      <c r="P230" s="40">
        <v>0</v>
      </c>
      <c r="Q230" s="40">
        <v>0</v>
      </c>
      <c r="R230" s="41">
        <f t="shared" si="48"/>
        <v>0</v>
      </c>
      <c r="S230" s="42">
        <v>2656</v>
      </c>
    </row>
    <row r="231" spans="2:19" ht="15.75" x14ac:dyDescent="0.25">
      <c r="B231" s="60">
        <f t="shared" ref="B231:B257" si="49">+B230+1</f>
        <v>4</v>
      </c>
      <c r="C231" s="60" t="s">
        <v>376</v>
      </c>
      <c r="D231" s="35" t="s">
        <v>377</v>
      </c>
      <c r="E231" s="36">
        <v>43646</v>
      </c>
      <c r="F231" s="37"/>
      <c r="G231" s="38">
        <v>5</v>
      </c>
      <c r="H231" s="39">
        <f t="shared" si="46"/>
        <v>0</v>
      </c>
      <c r="I231" s="37"/>
      <c r="J231" s="37"/>
      <c r="K231" s="37"/>
      <c r="L231" s="37"/>
      <c r="M231" s="37"/>
      <c r="N231" s="39">
        <f t="shared" si="47"/>
        <v>0</v>
      </c>
      <c r="O231" s="37"/>
      <c r="P231" s="40"/>
      <c r="Q231" s="40"/>
      <c r="R231" s="41">
        <f t="shared" si="48"/>
        <v>0</v>
      </c>
      <c r="S231" s="42"/>
    </row>
    <row r="232" spans="2:19" ht="15.75" x14ac:dyDescent="0.25">
      <c r="B232" s="60">
        <f t="shared" si="49"/>
        <v>5</v>
      </c>
      <c r="C232" s="60" t="s">
        <v>378</v>
      </c>
      <c r="D232" s="35" t="s">
        <v>379</v>
      </c>
      <c r="E232" s="36">
        <v>43646</v>
      </c>
      <c r="F232" s="37"/>
      <c r="G232" s="38">
        <v>10</v>
      </c>
      <c r="H232" s="39">
        <f t="shared" si="46"/>
        <v>0</v>
      </c>
      <c r="I232" s="37"/>
      <c r="J232" s="37"/>
      <c r="K232" s="37"/>
      <c r="L232" s="37"/>
      <c r="M232" s="37"/>
      <c r="N232" s="39">
        <f t="shared" si="47"/>
        <v>0</v>
      </c>
      <c r="O232" s="37"/>
      <c r="P232" s="40"/>
      <c r="Q232" s="40"/>
      <c r="R232" s="41">
        <f t="shared" si="48"/>
        <v>0</v>
      </c>
      <c r="S232" s="42"/>
    </row>
    <row r="233" spans="2:19" ht="15.75" x14ac:dyDescent="0.25">
      <c r="B233" s="60">
        <f t="shared" si="49"/>
        <v>6</v>
      </c>
      <c r="C233" s="60" t="s">
        <v>380</v>
      </c>
      <c r="D233" s="35" t="s">
        <v>381</v>
      </c>
      <c r="E233" s="36">
        <v>43646</v>
      </c>
      <c r="F233" s="37">
        <v>14</v>
      </c>
      <c r="G233" s="38">
        <v>10</v>
      </c>
      <c r="H233" s="39">
        <f t="shared" si="46"/>
        <v>1.4</v>
      </c>
      <c r="I233" s="37">
        <v>-308.81599999999997</v>
      </c>
      <c r="J233" s="37">
        <v>640.98699999999997</v>
      </c>
      <c r="K233" s="37">
        <v>0</v>
      </c>
      <c r="L233" s="37">
        <v>7.0000000000000001E-3</v>
      </c>
      <c r="M233" s="37">
        <v>-522.81600000000003</v>
      </c>
      <c r="N233" s="39">
        <f t="shared" si="47"/>
        <v>2.9959999999999809</v>
      </c>
      <c r="O233" s="37">
        <v>-525.81200000000001</v>
      </c>
      <c r="P233" s="40">
        <v>0</v>
      </c>
      <c r="Q233" s="40">
        <v>0</v>
      </c>
      <c r="R233" s="41">
        <f t="shared" si="48"/>
        <v>0</v>
      </c>
      <c r="S233" s="42"/>
    </row>
    <row r="234" spans="2:19" ht="15.75" x14ac:dyDescent="0.25">
      <c r="B234" s="60">
        <f t="shared" si="49"/>
        <v>7</v>
      </c>
      <c r="C234" s="60" t="s">
        <v>382</v>
      </c>
      <c r="D234" s="35" t="s">
        <v>383</v>
      </c>
      <c r="E234" s="36">
        <v>43738</v>
      </c>
      <c r="F234" s="37"/>
      <c r="G234" s="38">
        <v>10</v>
      </c>
      <c r="H234" s="39">
        <f t="shared" si="46"/>
        <v>0</v>
      </c>
      <c r="I234" s="37"/>
      <c r="J234" s="37"/>
      <c r="K234" s="37"/>
      <c r="L234" s="37"/>
      <c r="M234" s="37"/>
      <c r="N234" s="39">
        <f t="shared" si="47"/>
        <v>0</v>
      </c>
      <c r="O234" s="37"/>
      <c r="P234" s="40"/>
      <c r="Q234" s="40"/>
      <c r="R234" s="41">
        <f t="shared" si="48"/>
        <v>0</v>
      </c>
      <c r="S234" s="42"/>
    </row>
    <row r="235" spans="2:19" ht="15.75" x14ac:dyDescent="0.25">
      <c r="B235" s="60">
        <f t="shared" si="49"/>
        <v>8</v>
      </c>
      <c r="C235" s="60" t="s">
        <v>384</v>
      </c>
      <c r="D235" s="35" t="s">
        <v>385</v>
      </c>
      <c r="E235" s="36">
        <v>43646</v>
      </c>
      <c r="F235" s="37">
        <v>141</v>
      </c>
      <c r="G235" s="38">
        <v>10</v>
      </c>
      <c r="H235" s="39">
        <f t="shared" si="46"/>
        <v>14.1</v>
      </c>
      <c r="I235" s="37">
        <v>137.76671300000001</v>
      </c>
      <c r="J235" s="37">
        <v>1117.7467610000001</v>
      </c>
      <c r="K235" s="37">
        <v>0</v>
      </c>
      <c r="L235" s="37">
        <v>13.091547</v>
      </c>
      <c r="M235" s="37">
        <v>-58.091745000000003</v>
      </c>
      <c r="N235" s="39">
        <f t="shared" si="47"/>
        <v>-49.410060000000001</v>
      </c>
      <c r="O235" s="37">
        <v>-8.6816849999999999</v>
      </c>
      <c r="P235" s="40">
        <v>0</v>
      </c>
      <c r="Q235" s="40">
        <v>0</v>
      </c>
      <c r="R235" s="41">
        <f t="shared" si="48"/>
        <v>0</v>
      </c>
      <c r="S235" s="42">
        <v>1360</v>
      </c>
    </row>
    <row r="236" spans="2:19" ht="15.75" x14ac:dyDescent="0.25">
      <c r="B236" s="60">
        <f t="shared" si="49"/>
        <v>9</v>
      </c>
      <c r="C236" s="60" t="s">
        <v>386</v>
      </c>
      <c r="D236" s="35" t="s">
        <v>387</v>
      </c>
      <c r="E236" s="36">
        <v>43646</v>
      </c>
      <c r="F236" s="37"/>
      <c r="G236" s="38">
        <v>10</v>
      </c>
      <c r="H236" s="39">
        <f t="shared" si="46"/>
        <v>0</v>
      </c>
      <c r="I236" s="37"/>
      <c r="J236" s="37"/>
      <c r="K236" s="37"/>
      <c r="L236" s="37"/>
      <c r="M236" s="37"/>
      <c r="N236" s="39">
        <f t="shared" si="47"/>
        <v>0</v>
      </c>
      <c r="O236" s="37"/>
      <c r="P236" s="40"/>
      <c r="Q236" s="40"/>
      <c r="R236" s="41">
        <f t="shared" si="48"/>
        <v>0</v>
      </c>
      <c r="S236" s="42"/>
    </row>
    <row r="237" spans="2:19" ht="15.75" x14ac:dyDescent="0.25">
      <c r="B237" s="60">
        <f t="shared" si="49"/>
        <v>10</v>
      </c>
      <c r="C237" s="60" t="s">
        <v>388</v>
      </c>
      <c r="D237" s="35" t="s">
        <v>389</v>
      </c>
      <c r="E237" s="36">
        <v>43646</v>
      </c>
      <c r="F237" s="37">
        <v>96.107590000000002</v>
      </c>
      <c r="G237" s="38">
        <v>10</v>
      </c>
      <c r="H237" s="39">
        <f t="shared" si="46"/>
        <v>9.6107589999999998</v>
      </c>
      <c r="I237" s="37">
        <v>-56.728746999999998</v>
      </c>
      <c r="J237" s="37">
        <v>804.47919100000001</v>
      </c>
      <c r="K237" s="37">
        <v>0</v>
      </c>
      <c r="L237" s="37">
        <v>17.356946000000001</v>
      </c>
      <c r="M237" s="37">
        <v>-92.235034999999996</v>
      </c>
      <c r="N237" s="39">
        <f t="shared" si="47"/>
        <v>-16.08984199999999</v>
      </c>
      <c r="O237" s="37">
        <v>-76.145193000000006</v>
      </c>
      <c r="P237" s="40">
        <v>0</v>
      </c>
      <c r="Q237" s="40">
        <v>0</v>
      </c>
      <c r="R237" s="41">
        <f t="shared" si="48"/>
        <v>0</v>
      </c>
      <c r="S237" s="42">
        <v>699</v>
      </c>
    </row>
    <row r="238" spans="2:19" ht="15.75" x14ac:dyDescent="0.25">
      <c r="B238" s="60">
        <f t="shared" si="49"/>
        <v>11</v>
      </c>
      <c r="C238" s="60" t="s">
        <v>390</v>
      </c>
      <c r="D238" s="35" t="s">
        <v>391</v>
      </c>
      <c r="E238" s="36">
        <v>43646</v>
      </c>
      <c r="F238" s="37">
        <v>115.61028</v>
      </c>
      <c r="G238" s="38">
        <v>10</v>
      </c>
      <c r="H238" s="39">
        <f t="shared" si="46"/>
        <v>11.561028</v>
      </c>
      <c r="I238" s="37">
        <v>268.24523399999998</v>
      </c>
      <c r="J238" s="37">
        <v>955.25953600000003</v>
      </c>
      <c r="K238" s="37">
        <v>0</v>
      </c>
      <c r="L238" s="37">
        <v>32.495744000000002</v>
      </c>
      <c r="M238" s="37">
        <v>-115.18683799999999</v>
      </c>
      <c r="N238" s="39">
        <f t="shared" si="47"/>
        <v>-10.422417999999993</v>
      </c>
      <c r="O238" s="37">
        <v>-104.76442</v>
      </c>
      <c r="P238" s="40">
        <v>0</v>
      </c>
      <c r="Q238" s="40">
        <v>0</v>
      </c>
      <c r="R238" s="41">
        <f t="shared" si="48"/>
        <v>0</v>
      </c>
      <c r="S238" s="42">
        <v>639</v>
      </c>
    </row>
    <row r="239" spans="2:19" ht="15.75" x14ac:dyDescent="0.25">
      <c r="B239" s="60">
        <f t="shared" si="49"/>
        <v>12</v>
      </c>
      <c r="C239" s="60" t="s">
        <v>392</v>
      </c>
      <c r="D239" s="35" t="s">
        <v>393</v>
      </c>
      <c r="E239" s="36">
        <v>43646</v>
      </c>
      <c r="F239" s="37">
        <v>30.524290000000001</v>
      </c>
      <c r="G239" s="38">
        <v>10</v>
      </c>
      <c r="H239" s="39">
        <f t="shared" si="46"/>
        <v>3.0524290000000001</v>
      </c>
      <c r="I239" s="37">
        <v>518.84566800000005</v>
      </c>
      <c r="J239" s="37">
        <v>656.43940299999997</v>
      </c>
      <c r="K239" s="37">
        <v>0</v>
      </c>
      <c r="L239" s="37">
        <v>0.417931</v>
      </c>
      <c r="M239" s="37">
        <v>-3.9092609999999999</v>
      </c>
      <c r="N239" s="39">
        <f t="shared" si="47"/>
        <v>3.6151800000000005</v>
      </c>
      <c r="O239" s="37">
        <v>-7.5244410000000004</v>
      </c>
      <c r="P239" s="40">
        <v>0</v>
      </c>
      <c r="Q239" s="40">
        <v>0</v>
      </c>
      <c r="R239" s="41">
        <f t="shared" si="48"/>
        <v>0</v>
      </c>
      <c r="S239" s="42">
        <v>330</v>
      </c>
    </row>
    <row r="240" spans="2:19" ht="15.75" x14ac:dyDescent="0.25">
      <c r="B240" s="60">
        <f t="shared" si="49"/>
        <v>13</v>
      </c>
      <c r="C240" s="60" t="s">
        <v>394</v>
      </c>
      <c r="D240" s="47" t="s">
        <v>395</v>
      </c>
      <c r="E240" s="36">
        <v>43646</v>
      </c>
      <c r="F240" s="37">
        <v>80</v>
      </c>
      <c r="G240" s="38">
        <v>10</v>
      </c>
      <c r="H240" s="39">
        <f t="shared" si="46"/>
        <v>8</v>
      </c>
      <c r="I240" s="37">
        <v>-118.26416</v>
      </c>
      <c r="J240" s="37">
        <v>398.18041599999998</v>
      </c>
      <c r="K240" s="37">
        <v>0</v>
      </c>
      <c r="L240" s="37">
        <v>2.4853E-2</v>
      </c>
      <c r="M240" s="37">
        <v>-4.9343589999999997</v>
      </c>
      <c r="N240" s="39">
        <f t="shared" si="47"/>
        <v>0</v>
      </c>
      <c r="O240" s="37">
        <v>-4.9343589999999997</v>
      </c>
      <c r="P240" s="40">
        <v>0</v>
      </c>
      <c r="Q240" s="40">
        <v>0</v>
      </c>
      <c r="R240" s="41">
        <f t="shared" si="48"/>
        <v>0</v>
      </c>
      <c r="S240" s="42">
        <v>1234</v>
      </c>
    </row>
    <row r="241" spans="2:19" ht="15.75" x14ac:dyDescent="0.25">
      <c r="B241" s="60">
        <f t="shared" si="49"/>
        <v>14</v>
      </c>
      <c r="C241" s="60" t="s">
        <v>396</v>
      </c>
      <c r="D241" s="35" t="s">
        <v>397</v>
      </c>
      <c r="E241" s="36">
        <v>43646</v>
      </c>
      <c r="F241" s="37">
        <v>460.64609000000002</v>
      </c>
      <c r="G241" s="38">
        <v>10</v>
      </c>
      <c r="H241" s="39">
        <f t="shared" si="46"/>
        <v>46.064609000000004</v>
      </c>
      <c r="I241" s="37">
        <v>-2794.5111539999998</v>
      </c>
      <c r="J241" s="37">
        <v>2294.2252290000001</v>
      </c>
      <c r="K241" s="37">
        <v>132.47239300000001</v>
      </c>
      <c r="L241" s="37">
        <v>318.93621000000002</v>
      </c>
      <c r="M241" s="37">
        <v>-894.49578599999995</v>
      </c>
      <c r="N241" s="39">
        <f t="shared" si="47"/>
        <v>-20.324114000000009</v>
      </c>
      <c r="O241" s="37">
        <v>-874.17167199999994</v>
      </c>
      <c r="P241" s="40">
        <v>0</v>
      </c>
      <c r="Q241" s="40">
        <v>0</v>
      </c>
      <c r="R241" s="41">
        <f t="shared" si="48"/>
        <v>0</v>
      </c>
      <c r="S241" s="42">
        <v>322</v>
      </c>
    </row>
    <row r="242" spans="2:19" ht="15.75" x14ac:dyDescent="0.25">
      <c r="B242" s="60">
        <f t="shared" si="49"/>
        <v>15</v>
      </c>
      <c r="C242" s="60" t="s">
        <v>398</v>
      </c>
      <c r="D242" s="35" t="s">
        <v>399</v>
      </c>
      <c r="E242" s="36">
        <v>43646</v>
      </c>
      <c r="F242" s="37">
        <v>142.31</v>
      </c>
      <c r="G242" s="38">
        <v>10</v>
      </c>
      <c r="H242" s="39">
        <f t="shared" si="46"/>
        <v>14.231</v>
      </c>
      <c r="I242" s="37">
        <v>1866.7529999999999</v>
      </c>
      <c r="J242" s="37">
        <v>9221.1039999999994</v>
      </c>
      <c r="K242" s="37">
        <v>3339.7750000000001</v>
      </c>
      <c r="L242" s="37">
        <v>7.0279999999999996</v>
      </c>
      <c r="M242" s="37">
        <v>-352.37099999999998</v>
      </c>
      <c r="N242" s="39">
        <f t="shared" si="47"/>
        <v>40.735000000000014</v>
      </c>
      <c r="O242" s="37">
        <v>-393.10599999999999</v>
      </c>
      <c r="P242" s="40">
        <v>0</v>
      </c>
      <c r="Q242" s="40">
        <v>0</v>
      </c>
      <c r="R242" s="41">
        <f t="shared" si="48"/>
        <v>0</v>
      </c>
      <c r="S242" s="42">
        <v>1307</v>
      </c>
    </row>
    <row r="243" spans="2:19" ht="15.75" x14ac:dyDescent="0.25">
      <c r="B243" s="60">
        <f t="shared" si="49"/>
        <v>16</v>
      </c>
      <c r="C243" s="60" t="s">
        <v>400</v>
      </c>
      <c r="D243" s="35" t="s">
        <v>401</v>
      </c>
      <c r="E243" s="36">
        <v>43646</v>
      </c>
      <c r="F243" s="37">
        <v>163.66399999999999</v>
      </c>
      <c r="G243" s="38">
        <v>10</v>
      </c>
      <c r="H243" s="39">
        <f t="shared" si="46"/>
        <v>16.366399999999999</v>
      </c>
      <c r="I243" s="37">
        <v>55.366999999999997</v>
      </c>
      <c r="J243" s="37">
        <v>56.372</v>
      </c>
      <c r="K243" s="37">
        <v>0</v>
      </c>
      <c r="L243" s="37">
        <v>0</v>
      </c>
      <c r="M243" s="37">
        <v>-1.3380000000000001</v>
      </c>
      <c r="N243" s="39">
        <f t="shared" si="47"/>
        <v>0</v>
      </c>
      <c r="O243" s="37">
        <v>-1.3380000000000001</v>
      </c>
      <c r="P243" s="40">
        <v>0</v>
      </c>
      <c r="Q243" s="40">
        <v>0</v>
      </c>
      <c r="R243" s="41">
        <f t="shared" si="48"/>
        <v>0</v>
      </c>
      <c r="S243" s="42">
        <v>483</v>
      </c>
    </row>
    <row r="244" spans="2:19" ht="15.75" x14ac:dyDescent="0.25">
      <c r="B244" s="60">
        <f t="shared" si="49"/>
        <v>17</v>
      </c>
      <c r="C244" s="60" t="s">
        <v>402</v>
      </c>
      <c r="D244" s="35" t="s">
        <v>403</v>
      </c>
      <c r="E244" s="36">
        <v>43646</v>
      </c>
      <c r="F244" s="37">
        <v>222.25</v>
      </c>
      <c r="G244" s="38">
        <v>10</v>
      </c>
      <c r="H244" s="39">
        <f t="shared" si="46"/>
        <v>22.225000000000001</v>
      </c>
      <c r="I244" s="37"/>
      <c r="J244" s="37"/>
      <c r="K244" s="37"/>
      <c r="L244" s="37"/>
      <c r="M244" s="37">
        <v>-699.62599999999998</v>
      </c>
      <c r="N244" s="39">
        <f t="shared" si="47"/>
        <v>-43.198999999999955</v>
      </c>
      <c r="O244" s="37">
        <v>-656.42700000000002</v>
      </c>
      <c r="P244" s="40">
        <v>0</v>
      </c>
      <c r="Q244" s="40">
        <v>0</v>
      </c>
      <c r="R244" s="41">
        <f t="shared" si="48"/>
        <v>0</v>
      </c>
      <c r="S244" s="42"/>
    </row>
    <row r="245" spans="2:19" ht="15.75" x14ac:dyDescent="0.25">
      <c r="B245" s="60">
        <f t="shared" si="49"/>
        <v>18</v>
      </c>
      <c r="C245" s="60" t="s">
        <v>404</v>
      </c>
      <c r="D245" s="35" t="s">
        <v>405</v>
      </c>
      <c r="E245" s="36">
        <v>43646</v>
      </c>
      <c r="F245" s="37">
        <v>146.41</v>
      </c>
      <c r="G245" s="38">
        <v>10</v>
      </c>
      <c r="H245" s="39">
        <f t="shared" si="46"/>
        <v>14.641</v>
      </c>
      <c r="I245" s="37"/>
      <c r="J245" s="37"/>
      <c r="K245" s="37"/>
      <c r="L245" s="37"/>
      <c r="M245" s="37">
        <v>-22.161000000000001</v>
      </c>
      <c r="N245" s="39">
        <f t="shared" si="47"/>
        <v>-10.116000000000001</v>
      </c>
      <c r="O245" s="37">
        <v>-12.045</v>
      </c>
      <c r="P245" s="40">
        <v>0</v>
      </c>
      <c r="Q245" s="40">
        <v>0</v>
      </c>
      <c r="R245" s="41">
        <f t="shared" si="48"/>
        <v>0</v>
      </c>
      <c r="S245" s="42"/>
    </row>
    <row r="246" spans="2:19" ht="15.75" x14ac:dyDescent="0.25">
      <c r="B246" s="60">
        <f t="shared" si="49"/>
        <v>19</v>
      </c>
      <c r="C246" s="60" t="s">
        <v>406</v>
      </c>
      <c r="D246" s="35" t="s">
        <v>407</v>
      </c>
      <c r="E246" s="36">
        <v>43646</v>
      </c>
      <c r="F246" s="37">
        <v>189.83899</v>
      </c>
      <c r="G246" s="38">
        <v>10</v>
      </c>
      <c r="H246" s="39">
        <f t="shared" si="46"/>
        <v>18.983899000000001</v>
      </c>
      <c r="I246" s="37">
        <v>-9018.5363390000002</v>
      </c>
      <c r="J246" s="37">
        <v>1999.6725730000001</v>
      </c>
      <c r="K246" s="37">
        <v>0</v>
      </c>
      <c r="L246" s="37">
        <v>584.18432399999995</v>
      </c>
      <c r="M246" s="37">
        <v>-1385.1927069999999</v>
      </c>
      <c r="N246" s="39">
        <f t="shared" si="47"/>
        <v>-9.2577929999999924</v>
      </c>
      <c r="O246" s="37">
        <v>-1375.9349139999999</v>
      </c>
      <c r="P246" s="40">
        <v>0</v>
      </c>
      <c r="Q246" s="40">
        <v>0</v>
      </c>
      <c r="R246" s="41">
        <f t="shared" si="48"/>
        <v>0</v>
      </c>
      <c r="S246" s="42">
        <v>1075</v>
      </c>
    </row>
    <row r="247" spans="2:19" ht="15.75" x14ac:dyDescent="0.25">
      <c r="B247" s="60">
        <f t="shared" si="49"/>
        <v>20</v>
      </c>
      <c r="C247" s="60" t="s">
        <v>408</v>
      </c>
      <c r="D247" s="47" t="s">
        <v>409</v>
      </c>
      <c r="E247" s="36">
        <v>43646</v>
      </c>
      <c r="F247" s="70"/>
      <c r="G247" s="71">
        <v>10</v>
      </c>
      <c r="H247" s="72">
        <f t="shared" si="46"/>
        <v>0</v>
      </c>
      <c r="I247" s="70"/>
      <c r="J247" s="70"/>
      <c r="K247" s="70"/>
      <c r="L247" s="70"/>
      <c r="M247" s="70"/>
      <c r="N247" s="72">
        <f t="shared" si="47"/>
        <v>0</v>
      </c>
      <c r="O247" s="70"/>
      <c r="P247" s="73"/>
      <c r="Q247" s="73"/>
      <c r="R247" s="74">
        <f t="shared" si="48"/>
        <v>0</v>
      </c>
      <c r="S247" s="75"/>
    </row>
    <row r="248" spans="2:19" ht="15.75" x14ac:dyDescent="0.25">
      <c r="B248" s="60">
        <f t="shared" si="49"/>
        <v>21</v>
      </c>
      <c r="C248" s="60" t="s">
        <v>410</v>
      </c>
      <c r="D248" s="35" t="s">
        <v>411</v>
      </c>
      <c r="E248" s="36">
        <v>43646</v>
      </c>
      <c r="F248" s="37">
        <v>119.7504</v>
      </c>
      <c r="G248" s="38">
        <v>10</v>
      </c>
      <c r="H248" s="39">
        <f t="shared" si="46"/>
        <v>11.97504</v>
      </c>
      <c r="I248" s="37">
        <v>24.302978</v>
      </c>
      <c r="J248" s="37">
        <v>24.479545000000002</v>
      </c>
      <c r="K248" s="37">
        <v>0</v>
      </c>
      <c r="L248" s="37">
        <v>1.07E-3</v>
      </c>
      <c r="M248" s="37">
        <v>-4.0027530000000002</v>
      </c>
      <c r="N248" s="39">
        <f t="shared" si="47"/>
        <v>3.7672999999999845E-2</v>
      </c>
      <c r="O248" s="37">
        <v>-4.0404260000000001</v>
      </c>
      <c r="P248" s="40">
        <v>0</v>
      </c>
      <c r="Q248" s="40">
        <v>0</v>
      </c>
      <c r="R248" s="41">
        <f t="shared" si="48"/>
        <v>0</v>
      </c>
      <c r="S248" s="42">
        <v>494</v>
      </c>
    </row>
    <row r="249" spans="2:19" ht="15.75" x14ac:dyDescent="0.25">
      <c r="B249" s="60">
        <f t="shared" si="49"/>
        <v>22</v>
      </c>
      <c r="C249" s="60" t="s">
        <v>412</v>
      </c>
      <c r="D249" s="35" t="s">
        <v>413</v>
      </c>
      <c r="E249" s="36">
        <v>43646</v>
      </c>
      <c r="F249" s="37">
        <v>107</v>
      </c>
      <c r="G249" s="38">
        <v>10</v>
      </c>
      <c r="H249" s="39">
        <f t="shared" si="46"/>
        <v>10.7</v>
      </c>
      <c r="I249" s="37">
        <v>-125.66351899999999</v>
      </c>
      <c r="J249" s="37">
        <v>364.10857099999998</v>
      </c>
      <c r="K249" s="37">
        <v>0</v>
      </c>
      <c r="L249" s="37">
        <v>1.3079999999999999E-3</v>
      </c>
      <c r="M249" s="37">
        <v>-30.125191999999998</v>
      </c>
      <c r="N249" s="39">
        <f t="shared" si="47"/>
        <v>10.158483000000004</v>
      </c>
      <c r="O249" s="37">
        <v>-40.283675000000002</v>
      </c>
      <c r="P249" s="40">
        <v>0</v>
      </c>
      <c r="Q249" s="40">
        <v>0</v>
      </c>
      <c r="R249" s="41">
        <f t="shared" si="48"/>
        <v>0</v>
      </c>
      <c r="S249" s="42">
        <v>1348</v>
      </c>
    </row>
    <row r="250" spans="2:19" ht="15.75" x14ac:dyDescent="0.25">
      <c r="B250" s="60">
        <f t="shared" si="49"/>
        <v>23</v>
      </c>
      <c r="C250" s="60" t="s">
        <v>414</v>
      </c>
      <c r="D250" s="35" t="s">
        <v>415</v>
      </c>
      <c r="E250" s="36">
        <v>43646</v>
      </c>
      <c r="F250" s="37">
        <v>121.23699999999999</v>
      </c>
      <c r="G250" s="38">
        <v>10</v>
      </c>
      <c r="H250" s="39">
        <f t="shared" si="46"/>
        <v>12.123699999999999</v>
      </c>
      <c r="I250" s="37">
        <v>-51.949694000000001</v>
      </c>
      <c r="J250" s="37">
        <v>192.32218</v>
      </c>
      <c r="K250" s="37">
        <v>0</v>
      </c>
      <c r="L250" s="37">
        <v>2.5140000000000002E-3</v>
      </c>
      <c r="M250" s="37">
        <v>-2.0423789999999999</v>
      </c>
      <c r="N250" s="39">
        <f t="shared" si="47"/>
        <v>1.000000000139778E-6</v>
      </c>
      <c r="O250" s="37">
        <v>-2.0423800000000001</v>
      </c>
      <c r="P250" s="40">
        <v>0</v>
      </c>
      <c r="Q250" s="40">
        <v>0</v>
      </c>
      <c r="R250" s="41">
        <f t="shared" si="48"/>
        <v>0</v>
      </c>
      <c r="S250" s="42">
        <v>517</v>
      </c>
    </row>
    <row r="251" spans="2:19" ht="15.75" x14ac:dyDescent="0.25">
      <c r="B251" s="60">
        <f t="shared" si="49"/>
        <v>24</v>
      </c>
      <c r="C251" s="60" t="s">
        <v>416</v>
      </c>
      <c r="D251" s="35" t="s">
        <v>417</v>
      </c>
      <c r="E251" s="36">
        <v>43646</v>
      </c>
      <c r="F251" s="37">
        <v>230</v>
      </c>
      <c r="G251" s="38">
        <v>10</v>
      </c>
      <c r="H251" s="39">
        <f t="shared" si="46"/>
        <v>23</v>
      </c>
      <c r="I251" s="37">
        <v>144.086354</v>
      </c>
      <c r="J251" s="37">
        <v>396.49754999999999</v>
      </c>
      <c r="K251" s="37">
        <v>1.3002359999999999</v>
      </c>
      <c r="L251" s="37">
        <v>2.0337000000000001E-2</v>
      </c>
      <c r="M251" s="37">
        <v>-7.1495129999999998</v>
      </c>
      <c r="N251" s="39">
        <f t="shared" si="47"/>
        <v>1.1708380000000007</v>
      </c>
      <c r="O251" s="37">
        <v>-8.3203510000000005</v>
      </c>
      <c r="P251" s="40">
        <v>0</v>
      </c>
      <c r="Q251" s="40">
        <v>0</v>
      </c>
      <c r="R251" s="41">
        <f t="shared" si="48"/>
        <v>0</v>
      </c>
      <c r="S251" s="42">
        <v>996</v>
      </c>
    </row>
    <row r="252" spans="2:19" ht="15.75" x14ac:dyDescent="0.25">
      <c r="B252" s="60">
        <f t="shared" si="49"/>
        <v>25</v>
      </c>
      <c r="C252" s="60" t="s">
        <v>418</v>
      </c>
      <c r="D252" s="35" t="s">
        <v>419</v>
      </c>
      <c r="E252" s="36">
        <v>43646</v>
      </c>
      <c r="F252" s="37">
        <v>120</v>
      </c>
      <c r="G252" s="38">
        <v>10</v>
      </c>
      <c r="H252" s="39">
        <f t="shared" si="46"/>
        <v>12</v>
      </c>
      <c r="I252" s="37">
        <v>-389.28014400000001</v>
      </c>
      <c r="J252" s="37">
        <v>804.34297700000002</v>
      </c>
      <c r="K252" s="37">
        <v>80.897565999999998</v>
      </c>
      <c r="L252" s="37">
        <v>12.729215</v>
      </c>
      <c r="M252" s="37">
        <v>63.655555</v>
      </c>
      <c r="N252" s="39">
        <f t="shared" si="47"/>
        <v>11.654974000000003</v>
      </c>
      <c r="O252" s="37">
        <v>52.000580999999997</v>
      </c>
      <c r="P252" s="40">
        <v>0</v>
      </c>
      <c r="Q252" s="40">
        <v>0</v>
      </c>
      <c r="R252" s="41">
        <f t="shared" si="48"/>
        <v>0</v>
      </c>
      <c r="S252" s="42">
        <v>467</v>
      </c>
    </row>
    <row r="253" spans="2:19" ht="15.75" x14ac:dyDescent="0.25">
      <c r="B253" s="60">
        <f t="shared" si="49"/>
        <v>26</v>
      </c>
      <c r="C253" s="60" t="s">
        <v>420</v>
      </c>
      <c r="D253" s="35" t="s">
        <v>421</v>
      </c>
      <c r="E253" s="36">
        <v>43646</v>
      </c>
      <c r="F253" s="37">
        <v>250</v>
      </c>
      <c r="G253" s="38">
        <v>10</v>
      </c>
      <c r="H253" s="39">
        <f t="shared" si="46"/>
        <v>25</v>
      </c>
      <c r="I253" s="37">
        <v>-77.849779999999996</v>
      </c>
      <c r="J253" s="37">
        <v>157.04957200000001</v>
      </c>
      <c r="K253" s="37">
        <v>0</v>
      </c>
      <c r="L253" s="37">
        <v>0.73382700000000001</v>
      </c>
      <c r="M253" s="37">
        <v>93.618598000000006</v>
      </c>
      <c r="N253" s="39">
        <f t="shared" si="47"/>
        <v>-8.3376469999999898</v>
      </c>
      <c r="O253" s="37">
        <v>101.956245</v>
      </c>
      <c r="P253" s="40">
        <v>0</v>
      </c>
      <c r="Q253" s="40">
        <v>0</v>
      </c>
      <c r="R253" s="41">
        <f t="shared" si="48"/>
        <v>0</v>
      </c>
      <c r="S253" s="42">
        <v>757</v>
      </c>
    </row>
    <row r="254" spans="2:19" ht="15.75" x14ac:dyDescent="0.25">
      <c r="B254" s="60">
        <f t="shared" si="49"/>
        <v>27</v>
      </c>
      <c r="C254" s="60" t="s">
        <v>422</v>
      </c>
      <c r="D254" s="35" t="s">
        <v>423</v>
      </c>
      <c r="E254" s="36">
        <v>43646</v>
      </c>
      <c r="F254" s="37">
        <v>44.670360000000002</v>
      </c>
      <c r="G254" s="38">
        <v>10</v>
      </c>
      <c r="H254" s="39">
        <f t="shared" si="46"/>
        <v>4.4670360000000002</v>
      </c>
      <c r="I254" s="37">
        <v>-319.70322199999998</v>
      </c>
      <c r="J254" s="37">
        <v>871.34466299999997</v>
      </c>
      <c r="K254" s="37">
        <v>0</v>
      </c>
      <c r="L254" s="37">
        <v>0</v>
      </c>
      <c r="M254" s="37">
        <v>-32.203772000000001</v>
      </c>
      <c r="N254" s="39">
        <f t="shared" si="47"/>
        <v>0</v>
      </c>
      <c r="O254" s="37">
        <v>-32.203772000000001</v>
      </c>
      <c r="P254" s="40">
        <v>0</v>
      </c>
      <c r="Q254" s="40">
        <v>0</v>
      </c>
      <c r="R254" s="41">
        <f t="shared" si="48"/>
        <v>0</v>
      </c>
      <c r="S254" s="42">
        <v>743</v>
      </c>
    </row>
    <row r="255" spans="2:19" ht="15.75" x14ac:dyDescent="0.25">
      <c r="B255" s="60">
        <f t="shared" si="49"/>
        <v>28</v>
      </c>
      <c r="C255" s="60" t="s">
        <v>424</v>
      </c>
      <c r="D255" s="35" t="s">
        <v>425</v>
      </c>
      <c r="E255" s="36">
        <v>43646</v>
      </c>
      <c r="F255" s="37">
        <v>212.678</v>
      </c>
      <c r="G255" s="38">
        <v>10</v>
      </c>
      <c r="H255" s="39">
        <f t="shared" si="46"/>
        <v>21.267800000000001</v>
      </c>
      <c r="I255" s="37">
        <v>-288.157015</v>
      </c>
      <c r="J255" s="37">
        <v>215.518146</v>
      </c>
      <c r="K255" s="37">
        <v>0</v>
      </c>
      <c r="L255" s="37">
        <v>17.518847000000001</v>
      </c>
      <c r="M255" s="37">
        <v>-46.943657000000002</v>
      </c>
      <c r="N255" s="39">
        <f t="shared" si="47"/>
        <v>4.9020459999999986</v>
      </c>
      <c r="O255" s="37">
        <v>-51.845703</v>
      </c>
      <c r="P255" s="40">
        <v>0</v>
      </c>
      <c r="Q255" s="40">
        <v>0</v>
      </c>
      <c r="R255" s="41">
        <f t="shared" si="48"/>
        <v>0</v>
      </c>
      <c r="S255" s="42">
        <v>599</v>
      </c>
    </row>
    <row r="256" spans="2:19" ht="15.75" x14ac:dyDescent="0.25">
      <c r="B256" s="60">
        <f t="shared" si="49"/>
        <v>29</v>
      </c>
      <c r="C256" s="60" t="s">
        <v>426</v>
      </c>
      <c r="D256" s="35" t="s">
        <v>427</v>
      </c>
      <c r="E256" s="36">
        <v>43646</v>
      </c>
      <c r="F256" s="37">
        <v>87.75</v>
      </c>
      <c r="G256" s="38">
        <v>10</v>
      </c>
      <c r="H256" s="39">
        <f t="shared" si="46"/>
        <v>8.7750000000000004</v>
      </c>
      <c r="I256" s="37">
        <v>-742.041246</v>
      </c>
      <c r="J256" s="37">
        <v>1716.049751</v>
      </c>
      <c r="K256" s="37">
        <v>111.744649</v>
      </c>
      <c r="L256" s="37">
        <v>117.58348700000001</v>
      </c>
      <c r="M256" s="37">
        <v>-328.57956200000001</v>
      </c>
      <c r="N256" s="39">
        <f t="shared" si="47"/>
        <v>-12.802450000000022</v>
      </c>
      <c r="O256" s="37">
        <v>-315.77711199999999</v>
      </c>
      <c r="P256" s="40">
        <v>0</v>
      </c>
      <c r="Q256" s="40">
        <v>0</v>
      </c>
      <c r="R256" s="41">
        <f t="shared" si="48"/>
        <v>0</v>
      </c>
      <c r="S256" s="42">
        <v>1507</v>
      </c>
    </row>
    <row r="257" spans="2:19" ht="15.75" x14ac:dyDescent="0.25">
      <c r="B257" s="60">
        <f t="shared" si="49"/>
        <v>30</v>
      </c>
      <c r="C257" s="60" t="s">
        <v>428</v>
      </c>
      <c r="D257" s="35" t="s">
        <v>429</v>
      </c>
      <c r="E257" s="36">
        <v>43646</v>
      </c>
      <c r="F257" s="37">
        <v>298.40607</v>
      </c>
      <c r="G257" s="38">
        <v>10</v>
      </c>
      <c r="H257" s="39">
        <f t="shared" si="46"/>
        <v>29.840606999999999</v>
      </c>
      <c r="I257" s="37">
        <v>621.63134400000001</v>
      </c>
      <c r="J257" s="37">
        <v>2277.3694099999998</v>
      </c>
      <c r="K257" s="37">
        <v>3494.8049820000001</v>
      </c>
      <c r="L257" s="37">
        <v>95.433543999999998</v>
      </c>
      <c r="M257" s="37">
        <v>94.771247000000002</v>
      </c>
      <c r="N257" s="39">
        <f t="shared" si="47"/>
        <v>42.270638000000005</v>
      </c>
      <c r="O257" s="37">
        <v>52.500608999999997</v>
      </c>
      <c r="P257" s="40">
        <v>0</v>
      </c>
      <c r="Q257" s="40">
        <v>0</v>
      </c>
      <c r="R257" s="41">
        <f t="shared" si="48"/>
        <v>0</v>
      </c>
      <c r="S257" s="42">
        <v>1102</v>
      </c>
    </row>
    <row r="258" spans="2:19" ht="15.75" x14ac:dyDescent="0.25">
      <c r="B258" s="29"/>
      <c r="C258" s="29"/>
      <c r="D258" s="29"/>
      <c r="E258" s="29"/>
      <c r="F258" s="29"/>
      <c r="G258" s="43"/>
      <c r="H258" s="44"/>
      <c r="I258" s="31"/>
      <c r="J258" s="31"/>
      <c r="K258" s="31"/>
      <c r="L258" s="31"/>
      <c r="M258" s="31"/>
      <c r="N258" s="45"/>
      <c r="O258" s="31"/>
      <c r="P258" s="31"/>
      <c r="Q258" s="31"/>
      <c r="R258" s="45"/>
      <c r="S258" s="31"/>
    </row>
    <row r="259" spans="2:19" ht="15.75" x14ac:dyDescent="0.25">
      <c r="B259" s="34">
        <f>COUNT(B186:B258)</f>
        <v>70</v>
      </c>
      <c r="C259" s="34"/>
      <c r="D259" s="48"/>
      <c r="E259" s="48"/>
      <c r="F259" s="48">
        <f>SUM(F186:F258)</f>
        <v>21346.302365000003</v>
      </c>
      <c r="G259" s="49"/>
      <c r="H259" s="50">
        <f t="shared" ref="H259:O259" si="50">SUM(H186:H258)</f>
        <v>2325.4888259999998</v>
      </c>
      <c r="I259" s="48">
        <f t="shared" si="50"/>
        <v>93540.783649000005</v>
      </c>
      <c r="J259" s="48">
        <f t="shared" si="50"/>
        <v>304684.73703699996</v>
      </c>
      <c r="K259" s="48">
        <f t="shared" si="50"/>
        <v>280068.43531299994</v>
      </c>
      <c r="L259" s="48">
        <f t="shared" si="50"/>
        <v>11425.055568000003</v>
      </c>
      <c r="M259" s="48">
        <f t="shared" si="50"/>
        <v>6773.1332759999959</v>
      </c>
      <c r="N259" s="51">
        <f t="shared" si="50"/>
        <v>3653.6103039999989</v>
      </c>
      <c r="O259" s="48">
        <f t="shared" si="50"/>
        <v>3119.5229720000048</v>
      </c>
      <c r="P259" s="52"/>
      <c r="Q259" s="52"/>
      <c r="R259" s="53"/>
      <c r="S259" s="54">
        <f>SUM(S186:S258)</f>
        <v>68355</v>
      </c>
    </row>
    <row r="260" spans="2:19" ht="15.75" x14ac:dyDescent="0.25">
      <c r="B260" s="29"/>
      <c r="C260" s="29"/>
      <c r="D260" s="29"/>
      <c r="E260" s="29"/>
      <c r="F260" s="29"/>
      <c r="G260" s="43"/>
      <c r="H260" s="44"/>
      <c r="I260" s="31"/>
      <c r="J260" s="31"/>
      <c r="K260" s="31"/>
      <c r="L260" s="31"/>
      <c r="M260" s="31"/>
      <c r="N260" s="45"/>
      <c r="O260" s="31"/>
      <c r="P260" s="31"/>
      <c r="Q260" s="31"/>
      <c r="R260" s="45"/>
      <c r="S260" s="31"/>
    </row>
    <row r="261" spans="2:19" ht="15.75" x14ac:dyDescent="0.25">
      <c r="B261" s="29"/>
      <c r="C261" s="29"/>
      <c r="D261" s="29"/>
      <c r="E261" s="29"/>
      <c r="F261" s="29"/>
      <c r="G261" s="43"/>
      <c r="H261" s="44"/>
      <c r="I261" s="31"/>
      <c r="J261" s="31"/>
      <c r="K261" s="31"/>
      <c r="L261" s="31"/>
      <c r="M261" s="31"/>
      <c r="N261" s="45"/>
      <c r="O261" s="31"/>
      <c r="P261" s="31"/>
      <c r="Q261" s="31"/>
      <c r="R261" s="45"/>
      <c r="S261" s="31"/>
    </row>
    <row r="262" spans="2:19" ht="18.75" x14ac:dyDescent="0.3">
      <c r="B262" s="29"/>
      <c r="C262" s="33">
        <v>9</v>
      </c>
      <c r="D262" s="33" t="s">
        <v>430</v>
      </c>
      <c r="E262" s="61"/>
      <c r="F262" s="61"/>
      <c r="G262" s="43"/>
      <c r="H262" s="44"/>
      <c r="I262" s="31"/>
      <c r="J262" s="31"/>
      <c r="K262" s="31"/>
      <c r="L262" s="31"/>
      <c r="M262" s="31"/>
      <c r="N262" s="45"/>
      <c r="O262" s="31"/>
      <c r="P262" s="31"/>
      <c r="Q262" s="31"/>
      <c r="R262" s="45"/>
      <c r="S262" s="31"/>
    </row>
    <row r="263" spans="2:19" ht="15.75" x14ac:dyDescent="0.25">
      <c r="B263" s="29"/>
      <c r="C263" s="29"/>
      <c r="D263" s="29"/>
      <c r="E263" s="29"/>
      <c r="F263" s="29"/>
      <c r="G263" s="43"/>
      <c r="H263" s="44"/>
      <c r="I263" s="31"/>
      <c r="J263" s="31"/>
      <c r="K263" s="31"/>
      <c r="L263" s="31"/>
      <c r="M263" s="31"/>
      <c r="N263" s="45"/>
      <c r="O263" s="31"/>
      <c r="P263" s="31"/>
      <c r="Q263" s="31"/>
      <c r="R263" s="45"/>
      <c r="S263" s="31"/>
    </row>
    <row r="264" spans="2:19" ht="15.75" x14ac:dyDescent="0.25">
      <c r="B264" s="60">
        <v>1</v>
      </c>
      <c r="C264" s="60" t="s">
        <v>431</v>
      </c>
      <c r="D264" s="35" t="s">
        <v>432</v>
      </c>
      <c r="E264" s="36">
        <v>43646</v>
      </c>
      <c r="F264" s="37">
        <v>349.85</v>
      </c>
      <c r="G264" s="38">
        <v>10</v>
      </c>
      <c r="H264" s="39">
        <f t="shared" ref="H264:H270" si="51">+F264/G264</f>
        <v>34.984999999999999</v>
      </c>
      <c r="I264" s="37">
        <v>1088.47864</v>
      </c>
      <c r="J264" s="37">
        <v>1175.753338</v>
      </c>
      <c r="K264" s="37">
        <v>321.65033699999998</v>
      </c>
      <c r="L264" s="37">
        <v>1.8608960000000001</v>
      </c>
      <c r="M264" s="37">
        <v>6.4544189999999997</v>
      </c>
      <c r="N264" s="39">
        <f t="shared" ref="N264:N270" si="52">+M264-O264</f>
        <v>3.0003009999999999</v>
      </c>
      <c r="O264" s="37">
        <v>3.4541179999999998</v>
      </c>
      <c r="P264" s="40">
        <v>0</v>
      </c>
      <c r="Q264" s="40">
        <v>0</v>
      </c>
      <c r="R264" s="41">
        <f t="shared" ref="R264:R270" si="53">SUM(P264:Q264)</f>
        <v>0</v>
      </c>
      <c r="S264" s="42">
        <v>519</v>
      </c>
    </row>
    <row r="265" spans="2:19" ht="15.75" x14ac:dyDescent="0.25">
      <c r="B265" s="60">
        <f>+B264+1</f>
        <v>2</v>
      </c>
      <c r="C265" s="60" t="s">
        <v>433</v>
      </c>
      <c r="D265" s="35" t="s">
        <v>434</v>
      </c>
      <c r="E265" s="36">
        <v>43646</v>
      </c>
      <c r="F265" s="37">
        <v>184.8</v>
      </c>
      <c r="G265" s="38">
        <v>10</v>
      </c>
      <c r="H265" s="39">
        <f t="shared" si="51"/>
        <v>18.48</v>
      </c>
      <c r="I265" s="37">
        <v>1154.588395</v>
      </c>
      <c r="J265" s="37">
        <v>4462.9985630000001</v>
      </c>
      <c r="K265" s="37">
        <v>7112.2763340000001</v>
      </c>
      <c r="L265" s="37">
        <v>181.506968</v>
      </c>
      <c r="M265" s="37">
        <v>319.17878300000001</v>
      </c>
      <c r="N265" s="39">
        <f t="shared" si="52"/>
        <v>109.14434200000002</v>
      </c>
      <c r="O265" s="37">
        <v>210.03444099999999</v>
      </c>
      <c r="P265" s="40">
        <v>40</v>
      </c>
      <c r="Q265" s="40">
        <v>0</v>
      </c>
      <c r="R265" s="41">
        <f t="shared" si="53"/>
        <v>40</v>
      </c>
      <c r="S265" s="42">
        <v>532</v>
      </c>
    </row>
    <row r="266" spans="2:19" ht="15.75" x14ac:dyDescent="0.25">
      <c r="B266" s="60">
        <f t="shared" ref="B266:B270" si="54">+B265+1</f>
        <v>3</v>
      </c>
      <c r="C266" s="60" t="s">
        <v>435</v>
      </c>
      <c r="D266" s="35" t="s">
        <v>436</v>
      </c>
      <c r="E266" s="36">
        <v>43646</v>
      </c>
      <c r="F266" s="37">
        <v>157.548</v>
      </c>
      <c r="G266" s="38">
        <v>10</v>
      </c>
      <c r="H266" s="39">
        <f>+F266/G266</f>
        <v>15.754799999999999</v>
      </c>
      <c r="I266" s="37">
        <v>-201.035743</v>
      </c>
      <c r="J266" s="37">
        <v>17.438344000000001</v>
      </c>
      <c r="K266" s="37">
        <v>0</v>
      </c>
      <c r="L266" s="37">
        <v>0</v>
      </c>
      <c r="M266" s="37">
        <v>-1.3007930000000001</v>
      </c>
      <c r="N266" s="39">
        <f>+M266-O266</f>
        <v>0</v>
      </c>
      <c r="O266" s="37">
        <v>-1.3007930000000001</v>
      </c>
      <c r="P266" s="40">
        <v>0</v>
      </c>
      <c r="Q266" s="40">
        <v>0</v>
      </c>
      <c r="R266" s="41">
        <f>SUM(P266:Q266)</f>
        <v>0</v>
      </c>
      <c r="S266" s="42">
        <v>3800</v>
      </c>
    </row>
    <row r="267" spans="2:19" ht="15.75" x14ac:dyDescent="0.25">
      <c r="B267" s="60">
        <f t="shared" si="54"/>
        <v>4</v>
      </c>
      <c r="C267" s="60" t="s">
        <v>437</v>
      </c>
      <c r="D267" s="35" t="s">
        <v>438</v>
      </c>
      <c r="E267" s="36">
        <v>43646</v>
      </c>
      <c r="F267" s="37">
        <v>267.27999999999997</v>
      </c>
      <c r="G267" s="38">
        <v>10</v>
      </c>
      <c r="H267" s="39">
        <f t="shared" si="51"/>
        <v>26.727999999999998</v>
      </c>
      <c r="I267" s="37">
        <v>-74.196386000000004</v>
      </c>
      <c r="J267" s="37">
        <v>120.27888400000001</v>
      </c>
      <c r="K267" s="37">
        <v>44.753002000000002</v>
      </c>
      <c r="L267" s="37">
        <v>48.549473999999996</v>
      </c>
      <c r="M267" s="37">
        <v>99.675203999999994</v>
      </c>
      <c r="N267" s="39">
        <f t="shared" si="52"/>
        <v>8.5233649999999983</v>
      </c>
      <c r="O267" s="37">
        <v>91.151838999999995</v>
      </c>
      <c r="P267" s="40">
        <v>0</v>
      </c>
      <c r="Q267" s="40">
        <v>0</v>
      </c>
      <c r="R267" s="41">
        <f t="shared" si="53"/>
        <v>0</v>
      </c>
      <c r="S267" s="42">
        <v>715</v>
      </c>
    </row>
    <row r="268" spans="2:19" ht="15.75" x14ac:dyDescent="0.25">
      <c r="B268" s="60">
        <f t="shared" si="54"/>
        <v>5</v>
      </c>
      <c r="C268" s="60" t="s">
        <v>439</v>
      </c>
      <c r="D268" s="35" t="s">
        <v>440</v>
      </c>
      <c r="E268" s="36">
        <v>43646</v>
      </c>
      <c r="F268" s="37">
        <v>96.6</v>
      </c>
      <c r="G268" s="38">
        <v>10</v>
      </c>
      <c r="H268" s="39">
        <f t="shared" si="51"/>
        <v>9.66</v>
      </c>
      <c r="I268" s="37">
        <v>1217.7344780000001</v>
      </c>
      <c r="J268" s="37">
        <v>2899.033222</v>
      </c>
      <c r="K268" s="37">
        <v>4787.645681</v>
      </c>
      <c r="L268" s="37">
        <v>87.341289000000003</v>
      </c>
      <c r="M268" s="37">
        <v>251.39080799999999</v>
      </c>
      <c r="N268" s="39">
        <f t="shared" si="52"/>
        <v>63.341941999999989</v>
      </c>
      <c r="O268" s="37">
        <v>188.048866</v>
      </c>
      <c r="P268" s="40">
        <v>100</v>
      </c>
      <c r="Q268" s="40">
        <v>0</v>
      </c>
      <c r="R268" s="41">
        <f t="shared" si="53"/>
        <v>100</v>
      </c>
      <c r="S268" s="42">
        <v>1109</v>
      </c>
    </row>
    <row r="269" spans="2:19" ht="15.75" x14ac:dyDescent="0.25">
      <c r="B269" s="60">
        <f t="shared" si="54"/>
        <v>6</v>
      </c>
      <c r="C269" s="60" t="s">
        <v>441</v>
      </c>
      <c r="D269" s="35" t="s">
        <v>442</v>
      </c>
      <c r="E269" s="36">
        <v>43646</v>
      </c>
      <c r="F269" s="37">
        <v>900</v>
      </c>
      <c r="G269" s="38">
        <v>10</v>
      </c>
      <c r="H269" s="39">
        <f>+F269/G269</f>
        <v>90</v>
      </c>
      <c r="I269" s="37">
        <v>-271.78381400000001</v>
      </c>
      <c r="J269" s="37">
        <v>1056.3929820000001</v>
      </c>
      <c r="K269" s="37">
        <v>1325.5059670000001</v>
      </c>
      <c r="L269" s="37">
        <v>11.310249000000001</v>
      </c>
      <c r="M269" s="37">
        <v>-63.938797000000001</v>
      </c>
      <c r="N269" s="39">
        <f>+M269-O269</f>
        <v>10.352535999999994</v>
      </c>
      <c r="O269" s="37">
        <v>-74.291332999999995</v>
      </c>
      <c r="P269" s="40">
        <v>0</v>
      </c>
      <c r="Q269" s="40">
        <v>0</v>
      </c>
      <c r="R269" s="41">
        <f>SUM(P269:Q269)</f>
        <v>0</v>
      </c>
      <c r="S269" s="42">
        <v>2027</v>
      </c>
    </row>
    <row r="270" spans="2:19" ht="15.75" x14ac:dyDescent="0.25">
      <c r="B270" s="60">
        <f t="shared" si="54"/>
        <v>7</v>
      </c>
      <c r="C270" s="60" t="s">
        <v>443</v>
      </c>
      <c r="D270" s="35" t="s">
        <v>444</v>
      </c>
      <c r="E270" s="36">
        <v>43646</v>
      </c>
      <c r="F270" s="37">
        <v>594.28728999999998</v>
      </c>
      <c r="G270" s="38">
        <v>10</v>
      </c>
      <c r="H270" s="39">
        <f t="shared" si="51"/>
        <v>59.428728999999997</v>
      </c>
      <c r="I270" s="37">
        <v>1627.4028499999999</v>
      </c>
      <c r="J270" s="37">
        <v>4197.1559649999999</v>
      </c>
      <c r="K270" s="37">
        <v>5091.1394220000002</v>
      </c>
      <c r="L270" s="37">
        <v>144.362515</v>
      </c>
      <c r="M270" s="37">
        <v>148.64700400000001</v>
      </c>
      <c r="N270" s="39">
        <f t="shared" si="52"/>
        <v>30.808535000000006</v>
      </c>
      <c r="O270" s="37">
        <v>117.838469</v>
      </c>
      <c r="P270" s="40">
        <v>5</v>
      </c>
      <c r="Q270" s="40">
        <v>0</v>
      </c>
      <c r="R270" s="41">
        <f t="shared" si="53"/>
        <v>5</v>
      </c>
      <c r="S270" s="42">
        <v>464</v>
      </c>
    </row>
    <row r="271" spans="2:19" ht="15.75" x14ac:dyDescent="0.25">
      <c r="B271" s="29"/>
      <c r="C271" s="29"/>
      <c r="D271" s="29"/>
      <c r="E271" s="29"/>
      <c r="F271" s="29"/>
      <c r="G271" s="43"/>
      <c r="H271" s="44"/>
      <c r="I271" s="31"/>
      <c r="J271" s="31"/>
      <c r="K271" s="31"/>
      <c r="L271" s="31"/>
      <c r="M271" s="31"/>
      <c r="N271" s="45"/>
      <c r="O271" s="31"/>
      <c r="P271" s="31"/>
      <c r="Q271" s="31"/>
      <c r="R271" s="45"/>
      <c r="S271" s="31"/>
    </row>
    <row r="272" spans="2:19" ht="18.75" x14ac:dyDescent="0.3">
      <c r="B272" s="29"/>
      <c r="C272" s="29"/>
      <c r="D272" s="56" t="s">
        <v>43</v>
      </c>
      <c r="E272" s="29"/>
      <c r="F272" s="29"/>
      <c r="G272" s="43"/>
      <c r="H272" s="44"/>
      <c r="I272" s="31"/>
      <c r="J272" s="31"/>
      <c r="K272" s="31"/>
      <c r="L272" s="31"/>
      <c r="M272" s="31"/>
      <c r="N272" s="45"/>
      <c r="O272" s="31"/>
      <c r="P272" s="31"/>
      <c r="Q272" s="31"/>
      <c r="R272" s="45"/>
      <c r="S272" s="31"/>
    </row>
    <row r="273" spans="2:19" ht="15.75" x14ac:dyDescent="0.25">
      <c r="B273" s="60">
        <v>1</v>
      </c>
      <c r="C273" s="60" t="s">
        <v>445</v>
      </c>
      <c r="D273" s="35" t="s">
        <v>446</v>
      </c>
      <c r="E273" s="36">
        <v>43738</v>
      </c>
      <c r="F273" s="37"/>
      <c r="G273" s="38">
        <v>10</v>
      </c>
      <c r="H273" s="39">
        <f t="shared" ref="H273:H276" si="55">+F273/G273</f>
        <v>0</v>
      </c>
      <c r="I273" s="37"/>
      <c r="J273" s="37"/>
      <c r="K273" s="37"/>
      <c r="L273" s="37"/>
      <c r="M273" s="37"/>
      <c r="N273" s="39">
        <f t="shared" ref="N273:N276" si="56">+M273-O273</f>
        <v>0</v>
      </c>
      <c r="O273" s="37"/>
      <c r="P273" s="40"/>
      <c r="Q273" s="40"/>
      <c r="R273" s="41">
        <f t="shared" ref="R273:R276" si="57">SUM(P273:Q273)</f>
        <v>0</v>
      </c>
      <c r="S273" s="42"/>
    </row>
    <row r="274" spans="2:19" ht="15.75" x14ac:dyDescent="0.25">
      <c r="B274" s="60">
        <f t="shared" ref="B274:B276" si="58">+B273+1</f>
        <v>2</v>
      </c>
      <c r="C274" s="60" t="s">
        <v>447</v>
      </c>
      <c r="D274" s="35" t="s">
        <v>448</v>
      </c>
      <c r="E274" s="36">
        <v>43646</v>
      </c>
      <c r="F274" s="37">
        <v>300.01119999999997</v>
      </c>
      <c r="G274" s="38">
        <v>10</v>
      </c>
      <c r="H274" s="39">
        <f>+F274/G274</f>
        <v>30.001119999999997</v>
      </c>
      <c r="I274" s="37">
        <v>142.12099599999999</v>
      </c>
      <c r="J274" s="37">
        <v>1021.161368</v>
      </c>
      <c r="K274" s="37">
        <v>23.462022999999999</v>
      </c>
      <c r="L274" s="37">
        <v>66.692532</v>
      </c>
      <c r="M274" s="37">
        <v>7.7000440000000001</v>
      </c>
      <c r="N274" s="39">
        <f>+M274-O274</f>
        <v>3.3068100000000005</v>
      </c>
      <c r="O274" s="37">
        <v>4.3932339999999996</v>
      </c>
      <c r="P274" s="40">
        <v>0</v>
      </c>
      <c r="Q274" s="40">
        <v>0</v>
      </c>
      <c r="R274" s="41">
        <f>SUM(P274:Q274)</f>
        <v>0</v>
      </c>
      <c r="S274" s="42">
        <v>1527</v>
      </c>
    </row>
    <row r="275" spans="2:19" ht="15.75" x14ac:dyDescent="0.25">
      <c r="B275" s="60">
        <f t="shared" si="58"/>
        <v>3</v>
      </c>
      <c r="C275" s="60" t="s">
        <v>449</v>
      </c>
      <c r="D275" s="35" t="s">
        <v>450</v>
      </c>
      <c r="E275" s="36">
        <v>43738</v>
      </c>
      <c r="F275" s="37"/>
      <c r="G275" s="38">
        <v>10</v>
      </c>
      <c r="H275" s="39">
        <f t="shared" si="55"/>
        <v>0</v>
      </c>
      <c r="I275" s="37"/>
      <c r="J275" s="37"/>
      <c r="K275" s="37"/>
      <c r="L275" s="37"/>
      <c r="M275" s="37"/>
      <c r="N275" s="39">
        <f t="shared" si="56"/>
        <v>0</v>
      </c>
      <c r="O275" s="37"/>
      <c r="P275" s="40"/>
      <c r="Q275" s="40"/>
      <c r="R275" s="41">
        <f t="shared" si="57"/>
        <v>0</v>
      </c>
      <c r="S275" s="42"/>
    </row>
    <row r="276" spans="2:19" ht="15.75" x14ac:dyDescent="0.25">
      <c r="B276" s="60">
        <f t="shared" si="58"/>
        <v>4</v>
      </c>
      <c r="C276" s="60" t="s">
        <v>451</v>
      </c>
      <c r="D276" s="35" t="s">
        <v>452</v>
      </c>
      <c r="E276" s="36">
        <v>43738</v>
      </c>
      <c r="F276" s="37"/>
      <c r="G276" s="38">
        <v>10</v>
      </c>
      <c r="H276" s="39">
        <f t="shared" si="55"/>
        <v>0</v>
      </c>
      <c r="I276" s="37"/>
      <c r="J276" s="37"/>
      <c r="K276" s="37"/>
      <c r="L276" s="37"/>
      <c r="M276" s="37"/>
      <c r="N276" s="39">
        <f t="shared" si="56"/>
        <v>0</v>
      </c>
      <c r="O276" s="37"/>
      <c r="P276" s="40"/>
      <c r="Q276" s="40"/>
      <c r="R276" s="41">
        <f t="shared" si="57"/>
        <v>0</v>
      </c>
      <c r="S276" s="42"/>
    </row>
    <row r="277" spans="2:19" ht="15.75" x14ac:dyDescent="0.25">
      <c r="B277" s="29"/>
      <c r="C277" s="29"/>
      <c r="D277" s="29"/>
      <c r="E277" s="29"/>
      <c r="F277" s="29"/>
      <c r="G277" s="43"/>
      <c r="H277" s="44"/>
      <c r="I277" s="31"/>
      <c r="J277" s="31"/>
      <c r="K277" s="31"/>
      <c r="L277" s="31"/>
      <c r="M277" s="31"/>
      <c r="N277" s="45"/>
      <c r="O277" s="31"/>
      <c r="P277" s="31"/>
      <c r="Q277" s="31"/>
      <c r="R277" s="45"/>
      <c r="S277" s="31"/>
    </row>
    <row r="278" spans="2:19" ht="15.75" x14ac:dyDescent="0.25">
      <c r="B278" s="34">
        <f>COUNT(B264:B277)</f>
        <v>11</v>
      </c>
      <c r="C278" s="34"/>
      <c r="D278" s="48"/>
      <c r="E278" s="48"/>
      <c r="F278" s="48">
        <f>SUM(F264:F277)</f>
        <v>2850.3764899999996</v>
      </c>
      <c r="G278" s="49"/>
      <c r="H278" s="50">
        <f t="shared" ref="H278:O278" si="59">SUM(H264:H277)</f>
        <v>285.03764899999999</v>
      </c>
      <c r="I278" s="48">
        <f t="shared" si="59"/>
        <v>4683.3094160000001</v>
      </c>
      <c r="J278" s="48">
        <f t="shared" si="59"/>
        <v>14950.212665999999</v>
      </c>
      <c r="K278" s="48">
        <f t="shared" si="59"/>
        <v>18706.432766000002</v>
      </c>
      <c r="L278" s="48">
        <f t="shared" si="59"/>
        <v>541.62392299999999</v>
      </c>
      <c r="M278" s="48">
        <f t="shared" si="59"/>
        <v>767.80667200000005</v>
      </c>
      <c r="N278" s="51">
        <f t="shared" si="59"/>
        <v>228.47783100000001</v>
      </c>
      <c r="O278" s="48">
        <f t="shared" si="59"/>
        <v>539.32884100000001</v>
      </c>
      <c r="P278" s="52"/>
      <c r="Q278" s="52"/>
      <c r="R278" s="53"/>
      <c r="S278" s="54">
        <f>SUM(S264:S277)</f>
        <v>10693</v>
      </c>
    </row>
    <row r="279" spans="2:19" ht="15.75" x14ac:dyDescent="0.25">
      <c r="B279" s="29"/>
      <c r="C279" s="29"/>
      <c r="D279" s="29"/>
      <c r="E279" s="29"/>
      <c r="F279" s="29"/>
      <c r="G279" s="43"/>
      <c r="H279" s="44"/>
      <c r="I279" s="31"/>
      <c r="J279" s="31"/>
      <c r="K279" s="31"/>
      <c r="L279" s="31"/>
      <c r="M279" s="31"/>
      <c r="N279" s="45"/>
      <c r="O279" s="31"/>
      <c r="P279" s="31"/>
      <c r="Q279" s="31"/>
      <c r="R279" s="45"/>
      <c r="S279" s="31"/>
    </row>
    <row r="280" spans="2:19" ht="15.75" x14ac:dyDescent="0.25">
      <c r="B280" s="29"/>
      <c r="C280" s="29"/>
      <c r="D280" s="29"/>
      <c r="E280" s="29"/>
      <c r="F280" s="29"/>
      <c r="G280" s="43"/>
      <c r="H280" s="44"/>
      <c r="I280" s="31"/>
      <c r="J280" s="31"/>
      <c r="K280" s="31"/>
      <c r="L280" s="31"/>
      <c r="M280" s="31"/>
      <c r="N280" s="45"/>
      <c r="O280" s="31"/>
      <c r="P280" s="31"/>
      <c r="Q280" s="31"/>
      <c r="R280" s="45"/>
      <c r="S280" s="31"/>
    </row>
    <row r="281" spans="2:19" ht="18.75" x14ac:dyDescent="0.3">
      <c r="B281" s="29"/>
      <c r="C281" s="33">
        <v>10</v>
      </c>
      <c r="D281" s="33" t="s">
        <v>453</v>
      </c>
      <c r="E281" s="61"/>
      <c r="F281" s="61"/>
      <c r="G281" s="43"/>
      <c r="H281" s="44"/>
      <c r="I281" s="31"/>
      <c r="J281" s="31"/>
      <c r="K281" s="31"/>
      <c r="L281" s="31"/>
      <c r="M281" s="31"/>
      <c r="N281" s="45"/>
      <c r="O281" s="31"/>
      <c r="P281" s="31"/>
      <c r="Q281" s="31"/>
      <c r="R281" s="45"/>
      <c r="S281" s="31"/>
    </row>
    <row r="282" spans="2:19" ht="15.75" x14ac:dyDescent="0.25">
      <c r="B282" s="29"/>
      <c r="C282" s="29"/>
      <c r="D282" s="29"/>
      <c r="E282" s="29"/>
      <c r="F282" s="29"/>
      <c r="G282" s="43"/>
      <c r="H282" s="44"/>
      <c r="I282" s="31"/>
      <c r="J282" s="31"/>
      <c r="K282" s="31"/>
      <c r="L282" s="31"/>
      <c r="M282" s="31"/>
      <c r="N282" s="45"/>
      <c r="O282" s="31"/>
      <c r="P282" s="31"/>
      <c r="Q282" s="31"/>
      <c r="R282" s="45"/>
      <c r="S282" s="31"/>
    </row>
    <row r="283" spans="2:19" ht="15.75" x14ac:dyDescent="0.25">
      <c r="B283" s="60">
        <v>1</v>
      </c>
      <c r="C283" s="60" t="s">
        <v>454</v>
      </c>
      <c r="D283" s="35" t="s">
        <v>455</v>
      </c>
      <c r="E283" s="36">
        <v>43646</v>
      </c>
      <c r="F283" s="37">
        <v>840</v>
      </c>
      <c r="G283" s="38">
        <v>10</v>
      </c>
      <c r="H283" s="39">
        <f t="shared" ref="H283:H315" si="60">+F283/G283</f>
        <v>84</v>
      </c>
      <c r="I283" s="37">
        <v>6754.1589999999997</v>
      </c>
      <c r="J283" s="37">
        <v>12997.960999999999</v>
      </c>
      <c r="K283" s="37">
        <v>7767.18</v>
      </c>
      <c r="L283" s="37">
        <v>111.84399999999999</v>
      </c>
      <c r="M283" s="37">
        <v>955.47799999999995</v>
      </c>
      <c r="N283" s="39">
        <f t="shared" ref="N283:N315" si="61">+M283-O283</f>
        <v>88.657999999999902</v>
      </c>
      <c r="O283" s="37">
        <v>866.82</v>
      </c>
      <c r="P283" s="40">
        <v>30</v>
      </c>
      <c r="Q283" s="40">
        <v>0</v>
      </c>
      <c r="R283" s="41">
        <f t="shared" ref="R283:R315" si="62">SUM(P283:Q283)</f>
        <v>30</v>
      </c>
      <c r="S283" s="42">
        <v>601</v>
      </c>
    </row>
    <row r="284" spans="2:19" ht="15.75" x14ac:dyDescent="0.25">
      <c r="B284" s="60">
        <f>+B283+1</f>
        <v>2</v>
      </c>
      <c r="C284" s="60" t="s">
        <v>456</v>
      </c>
      <c r="D284" s="35" t="s">
        <v>457</v>
      </c>
      <c r="E284" s="36">
        <v>43646</v>
      </c>
      <c r="F284" s="37">
        <v>144.08248800000001</v>
      </c>
      <c r="G284" s="38">
        <v>10</v>
      </c>
      <c r="H284" s="39">
        <f t="shared" si="60"/>
        <v>14.408248800000001</v>
      </c>
      <c r="I284" s="37">
        <v>1840.936884</v>
      </c>
      <c r="J284" s="37">
        <v>4759.4269130000002</v>
      </c>
      <c r="K284" s="37">
        <v>7273.9938080000002</v>
      </c>
      <c r="L284" s="37">
        <v>189.033018</v>
      </c>
      <c r="M284" s="37">
        <v>129.35673299999999</v>
      </c>
      <c r="N284" s="39">
        <f t="shared" si="61"/>
        <v>88.401165999999989</v>
      </c>
      <c r="O284" s="37">
        <v>40.955567000000002</v>
      </c>
      <c r="P284" s="40">
        <v>12.5</v>
      </c>
      <c r="Q284" s="40">
        <v>0</v>
      </c>
      <c r="R284" s="41">
        <f t="shared" si="62"/>
        <v>12.5</v>
      </c>
      <c r="S284" s="42">
        <v>714</v>
      </c>
    </row>
    <row r="285" spans="2:19" ht="15.75" x14ac:dyDescent="0.25">
      <c r="B285" s="60">
        <f t="shared" ref="B285:B315" si="63">+B284+1</f>
        <v>3</v>
      </c>
      <c r="C285" s="60" t="s">
        <v>458</v>
      </c>
      <c r="D285" s="35" t="s">
        <v>459</v>
      </c>
      <c r="E285" s="36">
        <v>43646</v>
      </c>
      <c r="F285" s="37">
        <v>4493.4943899999998</v>
      </c>
      <c r="G285" s="38">
        <v>10</v>
      </c>
      <c r="H285" s="39">
        <f t="shared" si="60"/>
        <v>449.34943899999996</v>
      </c>
      <c r="I285" s="37">
        <v>1063.5537440000001</v>
      </c>
      <c r="J285" s="37">
        <v>22686.486246</v>
      </c>
      <c r="K285" s="37">
        <v>20214.970742000001</v>
      </c>
      <c r="L285" s="37">
        <v>1528.303279</v>
      </c>
      <c r="M285" s="37">
        <v>501.30116199999998</v>
      </c>
      <c r="N285" s="39">
        <f t="shared" si="61"/>
        <v>195.98887099999996</v>
      </c>
      <c r="O285" s="37">
        <v>305.31229100000002</v>
      </c>
      <c r="P285" s="40">
        <v>0</v>
      </c>
      <c r="Q285" s="40">
        <v>0</v>
      </c>
      <c r="R285" s="41">
        <f t="shared" si="62"/>
        <v>0</v>
      </c>
      <c r="S285" s="42">
        <v>4243</v>
      </c>
    </row>
    <row r="286" spans="2:19" ht="15.75" x14ac:dyDescent="0.25">
      <c r="B286" s="60">
        <f t="shared" si="63"/>
        <v>4</v>
      </c>
      <c r="C286" s="60" t="s">
        <v>460</v>
      </c>
      <c r="D286" s="35" t="s">
        <v>461</v>
      </c>
      <c r="E286" s="36">
        <v>43646</v>
      </c>
      <c r="F286" s="37">
        <v>104.5789</v>
      </c>
      <c r="G286" s="38">
        <v>10</v>
      </c>
      <c r="H286" s="39">
        <f t="shared" si="60"/>
        <v>10.457890000000001</v>
      </c>
      <c r="I286" s="37">
        <v>380.99504899999999</v>
      </c>
      <c r="J286" s="37">
        <v>1328.8720740000001</v>
      </c>
      <c r="K286" s="37">
        <v>1433.01629</v>
      </c>
      <c r="L286" s="37">
        <v>44.656402999999997</v>
      </c>
      <c r="M286" s="37">
        <v>15.057026</v>
      </c>
      <c r="N286" s="39">
        <f t="shared" si="61"/>
        <v>1.9320979999999999</v>
      </c>
      <c r="O286" s="37">
        <v>13.124928000000001</v>
      </c>
      <c r="P286" s="40">
        <v>0</v>
      </c>
      <c r="Q286" s="40">
        <v>0</v>
      </c>
      <c r="R286" s="41">
        <f t="shared" si="62"/>
        <v>0</v>
      </c>
      <c r="S286" s="42">
        <v>616</v>
      </c>
    </row>
    <row r="287" spans="2:19" ht="15.75" x14ac:dyDescent="0.25">
      <c r="B287" s="60">
        <f t="shared" si="63"/>
        <v>5</v>
      </c>
      <c r="C287" s="60" t="s">
        <v>462</v>
      </c>
      <c r="D287" s="35" t="s">
        <v>463</v>
      </c>
      <c r="E287" s="36">
        <v>43646</v>
      </c>
      <c r="F287" s="37">
        <v>30</v>
      </c>
      <c r="G287" s="38">
        <v>10</v>
      </c>
      <c r="H287" s="39">
        <f t="shared" si="60"/>
        <v>3</v>
      </c>
      <c r="I287" s="37">
        <v>4913.1174920000003</v>
      </c>
      <c r="J287" s="37">
        <v>8405.9278699999995</v>
      </c>
      <c r="K287" s="37">
        <v>9347.7728640000005</v>
      </c>
      <c r="L287" s="37">
        <v>166.32252399999999</v>
      </c>
      <c r="M287" s="37">
        <v>956.88266599999997</v>
      </c>
      <c r="N287" s="39">
        <f t="shared" si="61"/>
        <v>124.47284000000002</v>
      </c>
      <c r="O287" s="37">
        <v>832.40982599999995</v>
      </c>
      <c r="P287" s="40">
        <v>558</v>
      </c>
      <c r="Q287" s="40">
        <v>0</v>
      </c>
      <c r="R287" s="41">
        <f t="shared" si="62"/>
        <v>558</v>
      </c>
      <c r="S287" s="42">
        <v>369</v>
      </c>
    </row>
    <row r="288" spans="2:19" ht="15.75" x14ac:dyDescent="0.25">
      <c r="B288" s="60">
        <f t="shared" si="63"/>
        <v>6</v>
      </c>
      <c r="C288" s="60" t="s">
        <v>464</v>
      </c>
      <c r="D288" s="35" t="s">
        <v>465</v>
      </c>
      <c r="E288" s="36">
        <v>43646</v>
      </c>
      <c r="F288" s="37">
        <v>64.319999999999993</v>
      </c>
      <c r="G288" s="38">
        <v>10</v>
      </c>
      <c r="H288" s="39">
        <f t="shared" si="60"/>
        <v>6.4319999999999995</v>
      </c>
      <c r="I288" s="37">
        <v>3755.0887619999999</v>
      </c>
      <c r="J288" s="37">
        <v>9128.5516669999997</v>
      </c>
      <c r="K288" s="37">
        <v>12346.174829</v>
      </c>
      <c r="L288" s="37">
        <v>371.50410599999998</v>
      </c>
      <c r="M288" s="37">
        <v>788.32418099999995</v>
      </c>
      <c r="N288" s="39">
        <f t="shared" si="61"/>
        <v>152.89940799999999</v>
      </c>
      <c r="O288" s="37">
        <v>635.42477299999996</v>
      </c>
      <c r="P288" s="40">
        <v>198</v>
      </c>
      <c r="Q288" s="40">
        <v>0</v>
      </c>
      <c r="R288" s="41">
        <f t="shared" si="62"/>
        <v>198</v>
      </c>
      <c r="S288" s="42">
        <v>648</v>
      </c>
    </row>
    <row r="289" spans="2:19" ht="15.75" x14ac:dyDescent="0.25">
      <c r="B289" s="60">
        <f t="shared" si="63"/>
        <v>7</v>
      </c>
      <c r="C289" s="60" t="s">
        <v>466</v>
      </c>
      <c r="D289" s="35" t="s">
        <v>467</v>
      </c>
      <c r="E289" s="36">
        <v>43646</v>
      </c>
      <c r="F289" s="37">
        <v>800</v>
      </c>
      <c r="G289" s="38">
        <v>10</v>
      </c>
      <c r="H289" s="39">
        <f t="shared" si="60"/>
        <v>80</v>
      </c>
      <c r="I289" s="37">
        <v>7906.7349999999997</v>
      </c>
      <c r="J289" s="37">
        <v>17370.803</v>
      </c>
      <c r="K289" s="37">
        <v>13946.144</v>
      </c>
      <c r="L289" s="37">
        <v>506.75</v>
      </c>
      <c r="M289" s="37">
        <v>395.84</v>
      </c>
      <c r="N289" s="39">
        <f t="shared" si="61"/>
        <v>157.25099999999998</v>
      </c>
      <c r="O289" s="37">
        <v>238.589</v>
      </c>
      <c r="P289" s="40">
        <v>6</v>
      </c>
      <c r="Q289" s="40">
        <v>0</v>
      </c>
      <c r="R289" s="41">
        <f t="shared" si="62"/>
        <v>6</v>
      </c>
      <c r="S289" s="42">
        <v>2164</v>
      </c>
    </row>
    <row r="290" spans="2:19" ht="15.75" x14ac:dyDescent="0.25">
      <c r="B290" s="60">
        <f t="shared" si="63"/>
        <v>8</v>
      </c>
      <c r="C290" s="60" t="s">
        <v>468</v>
      </c>
      <c r="D290" s="35" t="s">
        <v>469</v>
      </c>
      <c r="E290" s="36">
        <v>43830</v>
      </c>
      <c r="F290" s="37">
        <v>590.57799999999997</v>
      </c>
      <c r="G290" s="38">
        <v>10</v>
      </c>
      <c r="H290" s="39">
        <f t="shared" si="60"/>
        <v>59.0578</v>
      </c>
      <c r="I290" s="37">
        <v>3505.5929999999998</v>
      </c>
      <c r="J290" s="37">
        <v>4213.518</v>
      </c>
      <c r="K290" s="37">
        <f>6.012+7.489</f>
        <v>13.500999999999999</v>
      </c>
      <c r="L290" s="37">
        <v>93.593000000000004</v>
      </c>
      <c r="M290" s="37">
        <f>1285.04</f>
        <v>1285.04</v>
      </c>
      <c r="N290" s="39">
        <f t="shared" si="61"/>
        <v>220.80399999999986</v>
      </c>
      <c r="O290" s="37">
        <f>1098.904-34.668</f>
        <v>1064.2360000000001</v>
      </c>
      <c r="P290" s="40">
        <f>40+30</f>
        <v>70</v>
      </c>
      <c r="Q290" s="40">
        <v>0</v>
      </c>
      <c r="R290" s="41">
        <f t="shared" si="62"/>
        <v>70</v>
      </c>
      <c r="S290" s="42">
        <v>5660</v>
      </c>
    </row>
    <row r="291" spans="2:19" ht="15.75" x14ac:dyDescent="0.25">
      <c r="B291" s="60">
        <f t="shared" si="63"/>
        <v>9</v>
      </c>
      <c r="C291" s="60" t="s">
        <v>470</v>
      </c>
      <c r="D291" s="35" t="s">
        <v>471</v>
      </c>
      <c r="E291" s="36">
        <v>43646</v>
      </c>
      <c r="F291" s="37">
        <v>100</v>
      </c>
      <c r="G291" s="38">
        <v>10</v>
      </c>
      <c r="H291" s="39">
        <f t="shared" si="60"/>
        <v>10</v>
      </c>
      <c r="I291" s="37">
        <v>5277.907185</v>
      </c>
      <c r="J291" s="37">
        <v>10182.35564</v>
      </c>
      <c r="K291" s="37">
        <v>14028.566145000001</v>
      </c>
      <c r="L291" s="37">
        <v>290.547845</v>
      </c>
      <c r="M291" s="37">
        <v>1102.3720679999999</v>
      </c>
      <c r="N291" s="39">
        <f t="shared" si="61"/>
        <v>183.87221699999986</v>
      </c>
      <c r="O291" s="37">
        <v>918.49985100000004</v>
      </c>
      <c r="P291" s="40">
        <v>185</v>
      </c>
      <c r="Q291" s="40">
        <v>0</v>
      </c>
      <c r="R291" s="41">
        <f t="shared" si="62"/>
        <v>185</v>
      </c>
      <c r="S291" s="42">
        <v>825</v>
      </c>
    </row>
    <row r="292" spans="2:19" ht="15.75" x14ac:dyDescent="0.25">
      <c r="B292" s="60">
        <f t="shared" si="63"/>
        <v>10</v>
      </c>
      <c r="C292" s="60" t="s">
        <v>472</v>
      </c>
      <c r="D292" s="35" t="s">
        <v>473</v>
      </c>
      <c r="E292" s="36">
        <v>43646</v>
      </c>
      <c r="F292" s="37">
        <v>3768.009</v>
      </c>
      <c r="G292" s="38">
        <v>10</v>
      </c>
      <c r="H292" s="39">
        <f>+F292/G292</f>
        <v>376.80090000000001</v>
      </c>
      <c r="I292" s="37">
        <v>20103.449000000001</v>
      </c>
      <c r="J292" s="37">
        <v>33967.336000000003</v>
      </c>
      <c r="K292" s="37">
        <v>29243.546999999999</v>
      </c>
      <c r="L292" s="37">
        <v>155.892</v>
      </c>
      <c r="M292" s="37">
        <v>6221.0940000000001</v>
      </c>
      <c r="N292" s="39">
        <f>+M292-O292</f>
        <v>231.28399999999965</v>
      </c>
      <c r="O292" s="37">
        <v>5989.81</v>
      </c>
      <c r="P292" s="40">
        <f>30+33.5</f>
        <v>63.5</v>
      </c>
      <c r="Q292" s="40">
        <v>0</v>
      </c>
      <c r="R292" s="41">
        <f>SUM(P292:Q292)</f>
        <v>63.5</v>
      </c>
      <c r="S292" s="42">
        <v>960</v>
      </c>
    </row>
    <row r="293" spans="2:19" ht="15.75" x14ac:dyDescent="0.25">
      <c r="B293" s="60">
        <f t="shared" si="63"/>
        <v>11</v>
      </c>
      <c r="C293" s="60" t="s">
        <v>474</v>
      </c>
      <c r="D293" s="35" t="s">
        <v>475</v>
      </c>
      <c r="E293" s="36">
        <v>43646</v>
      </c>
      <c r="F293" s="37">
        <v>3564.9549999999999</v>
      </c>
      <c r="G293" s="38">
        <v>10</v>
      </c>
      <c r="H293" s="39">
        <f t="shared" si="60"/>
        <v>356.49549999999999</v>
      </c>
      <c r="I293" s="37">
        <v>15333.213</v>
      </c>
      <c r="J293" s="37">
        <v>54452.207000000002</v>
      </c>
      <c r="K293" s="37">
        <v>57287.837</v>
      </c>
      <c r="L293" s="37">
        <v>1473.4069999999999</v>
      </c>
      <c r="M293" s="37">
        <v>4008.453</v>
      </c>
      <c r="N293" s="39">
        <f t="shared" si="61"/>
        <v>399.23300000000017</v>
      </c>
      <c r="O293" s="37">
        <v>3609.22</v>
      </c>
      <c r="P293" s="40">
        <v>25</v>
      </c>
      <c r="Q293" s="40">
        <v>20</v>
      </c>
      <c r="R293" s="41">
        <f t="shared" si="62"/>
        <v>45</v>
      </c>
      <c r="S293" s="42">
        <v>3986</v>
      </c>
    </row>
    <row r="294" spans="2:19" ht="15.75" x14ac:dyDescent="0.25">
      <c r="B294" s="60">
        <f t="shared" si="63"/>
        <v>12</v>
      </c>
      <c r="C294" s="60" t="s">
        <v>476</v>
      </c>
      <c r="D294" s="35" t="s">
        <v>477</v>
      </c>
      <c r="E294" s="36">
        <v>43646</v>
      </c>
      <c r="F294" s="37">
        <v>326.35599999999999</v>
      </c>
      <c r="G294" s="38">
        <v>10</v>
      </c>
      <c r="H294" s="39">
        <f t="shared" si="60"/>
        <v>32.635599999999997</v>
      </c>
      <c r="I294" s="37">
        <v>1190.619874</v>
      </c>
      <c r="J294" s="37">
        <v>3142.8345639999998</v>
      </c>
      <c r="K294" s="37">
        <v>5418.7864749999999</v>
      </c>
      <c r="L294" s="37">
        <v>145.033692</v>
      </c>
      <c r="M294" s="37">
        <v>61.951017999999998</v>
      </c>
      <c r="N294" s="39">
        <f t="shared" si="61"/>
        <v>113.39536100000001</v>
      </c>
      <c r="O294" s="37">
        <v>-51.444343000000003</v>
      </c>
      <c r="P294" s="40">
        <v>0</v>
      </c>
      <c r="Q294" s="40">
        <v>0</v>
      </c>
      <c r="R294" s="41">
        <f t="shared" si="62"/>
        <v>0</v>
      </c>
      <c r="S294" s="42">
        <v>4799</v>
      </c>
    </row>
    <row r="295" spans="2:19" ht="15.75" x14ac:dyDescent="0.25">
      <c r="B295" s="60">
        <f t="shared" si="63"/>
        <v>13</v>
      </c>
      <c r="C295" s="60" t="s">
        <v>478</v>
      </c>
      <c r="D295" s="35" t="s">
        <v>479</v>
      </c>
      <c r="E295" s="36">
        <v>43646</v>
      </c>
      <c r="F295" s="37">
        <v>12</v>
      </c>
      <c r="G295" s="38">
        <v>10</v>
      </c>
      <c r="H295" s="39">
        <f t="shared" si="60"/>
        <v>1.2</v>
      </c>
      <c r="I295" s="37">
        <v>477.11640499999999</v>
      </c>
      <c r="J295" s="37">
        <v>488.98961700000001</v>
      </c>
      <c r="K295" s="37">
        <v>11.266555</v>
      </c>
      <c r="L295" s="37">
        <v>1.2037000000000001E-2</v>
      </c>
      <c r="M295" s="37">
        <v>25.678391000000001</v>
      </c>
      <c r="N295" s="39">
        <f t="shared" si="61"/>
        <v>1.4946920000000006</v>
      </c>
      <c r="O295" s="37">
        <v>24.183699000000001</v>
      </c>
      <c r="P295" s="40">
        <v>15</v>
      </c>
      <c r="Q295" s="40">
        <v>0</v>
      </c>
      <c r="R295" s="41">
        <f t="shared" si="62"/>
        <v>15</v>
      </c>
      <c r="S295" s="42">
        <v>956</v>
      </c>
    </row>
    <row r="296" spans="2:19" ht="15.75" x14ac:dyDescent="0.25">
      <c r="B296" s="60">
        <f t="shared" si="63"/>
        <v>14</v>
      </c>
      <c r="C296" s="60" t="s">
        <v>480</v>
      </c>
      <c r="D296" s="35" t="s">
        <v>481</v>
      </c>
      <c r="E296" s="36">
        <v>43646</v>
      </c>
      <c r="F296" s="37">
        <v>8721.9750000000004</v>
      </c>
      <c r="G296" s="38">
        <v>10</v>
      </c>
      <c r="H296" s="39">
        <f t="shared" si="60"/>
        <v>872.19749999999999</v>
      </c>
      <c r="I296" s="37">
        <v>17879.784</v>
      </c>
      <c r="J296" s="37">
        <v>40782.622000000003</v>
      </c>
      <c r="K296" s="37">
        <v>37478.321000000004</v>
      </c>
      <c r="L296" s="37">
        <v>995.70699999999999</v>
      </c>
      <c r="M296" s="37">
        <v>5420.9830000000002</v>
      </c>
      <c r="N296" s="39">
        <f t="shared" si="61"/>
        <v>226.21600000000035</v>
      </c>
      <c r="O296" s="37">
        <v>5194.7669999999998</v>
      </c>
      <c r="P296" s="40">
        <f>12.5+17.5</f>
        <v>30</v>
      </c>
      <c r="Q296" s="40">
        <v>0</v>
      </c>
      <c r="R296" s="41">
        <f t="shared" ref="R296" si="64">SUM(P296:Q296)</f>
        <v>30</v>
      </c>
      <c r="S296" s="42">
        <v>5131</v>
      </c>
    </row>
    <row r="297" spans="2:19" ht="15.75" x14ac:dyDescent="0.25">
      <c r="B297" s="60">
        <f t="shared" si="63"/>
        <v>15</v>
      </c>
      <c r="C297" s="60" t="s">
        <v>482</v>
      </c>
      <c r="D297" s="35" t="s">
        <v>483</v>
      </c>
      <c r="E297" s="36">
        <v>43646</v>
      </c>
      <c r="F297" s="37">
        <v>96.75</v>
      </c>
      <c r="G297" s="38">
        <v>10</v>
      </c>
      <c r="H297" s="39">
        <f t="shared" si="60"/>
        <v>9.6750000000000007</v>
      </c>
      <c r="I297" s="37">
        <v>121.509631</v>
      </c>
      <c r="J297" s="37">
        <v>279.04163499999999</v>
      </c>
      <c r="K297" s="37">
        <v>451.09896700000002</v>
      </c>
      <c r="L297" s="37">
        <v>5.192037</v>
      </c>
      <c r="M297" s="37">
        <v>14.748652</v>
      </c>
      <c r="N297" s="39">
        <f t="shared" si="61"/>
        <v>4.5109899999999996</v>
      </c>
      <c r="O297" s="37">
        <v>10.237662</v>
      </c>
      <c r="P297" s="40">
        <v>5</v>
      </c>
      <c r="Q297" s="40">
        <v>0</v>
      </c>
      <c r="R297" s="41">
        <f t="shared" si="62"/>
        <v>5</v>
      </c>
      <c r="S297" s="42">
        <v>1277</v>
      </c>
    </row>
    <row r="298" spans="2:19" ht="15.75" x14ac:dyDescent="0.25">
      <c r="B298" s="60">
        <f t="shared" si="63"/>
        <v>16</v>
      </c>
      <c r="C298" s="60" t="s">
        <v>484</v>
      </c>
      <c r="D298" s="35" t="s">
        <v>485</v>
      </c>
      <c r="E298" s="36">
        <v>43646</v>
      </c>
      <c r="F298" s="37">
        <v>96.6</v>
      </c>
      <c r="G298" s="38">
        <v>10</v>
      </c>
      <c r="H298" s="39">
        <f t="shared" si="60"/>
        <v>9.66</v>
      </c>
      <c r="I298" s="37">
        <v>773.60500000000002</v>
      </c>
      <c r="J298" s="37">
        <v>1605.8209999999999</v>
      </c>
      <c r="K298" s="37">
        <v>1885.31</v>
      </c>
      <c r="L298" s="37">
        <v>46.713999999999999</v>
      </c>
      <c r="M298" s="37">
        <v>61.527000000000001</v>
      </c>
      <c r="N298" s="39">
        <f t="shared" si="61"/>
        <v>42.507000000000005</v>
      </c>
      <c r="O298" s="37">
        <v>19.02</v>
      </c>
      <c r="P298" s="40">
        <v>4</v>
      </c>
      <c r="Q298" s="40">
        <v>0</v>
      </c>
      <c r="R298" s="41">
        <f t="shared" si="62"/>
        <v>4</v>
      </c>
      <c r="S298" s="42">
        <v>1058</v>
      </c>
    </row>
    <row r="299" spans="2:19" ht="15.75" x14ac:dyDescent="0.25">
      <c r="B299" s="60">
        <f t="shared" si="63"/>
        <v>17</v>
      </c>
      <c r="C299" s="60" t="s">
        <v>486</v>
      </c>
      <c r="D299" s="35" t="s">
        <v>487</v>
      </c>
      <c r="E299" s="36">
        <v>43646</v>
      </c>
      <c r="F299" s="37">
        <v>12.275029999999999</v>
      </c>
      <c r="G299" s="38">
        <v>10</v>
      </c>
      <c r="H299" s="39">
        <f t="shared" si="60"/>
        <v>1.227503</v>
      </c>
      <c r="I299" s="37">
        <v>906.87869799999999</v>
      </c>
      <c r="J299" s="37">
        <v>1007.622392</v>
      </c>
      <c r="K299" s="37">
        <v>3.516</v>
      </c>
      <c r="L299" s="37">
        <v>2.1419999999999998E-3</v>
      </c>
      <c r="M299" s="37">
        <v>-5.4167829999999997</v>
      </c>
      <c r="N299" s="39">
        <f t="shared" si="61"/>
        <v>-1.8703079999999996</v>
      </c>
      <c r="O299" s="37">
        <v>-3.546475</v>
      </c>
      <c r="P299" s="40">
        <v>0</v>
      </c>
      <c r="Q299" s="40">
        <v>0</v>
      </c>
      <c r="R299" s="41">
        <f t="shared" si="62"/>
        <v>0</v>
      </c>
      <c r="S299" s="42">
        <v>443</v>
      </c>
    </row>
    <row r="300" spans="2:19" ht="15.75" x14ac:dyDescent="0.25">
      <c r="B300" s="60">
        <f t="shared" si="63"/>
        <v>18</v>
      </c>
      <c r="C300" s="60" t="s">
        <v>488</v>
      </c>
      <c r="D300" s="35" t="s">
        <v>489</v>
      </c>
      <c r="E300" s="36">
        <v>43646</v>
      </c>
      <c r="F300" s="37">
        <v>509.11011000000002</v>
      </c>
      <c r="G300" s="38">
        <v>10</v>
      </c>
      <c r="H300" s="39">
        <f t="shared" si="60"/>
        <v>50.911011000000002</v>
      </c>
      <c r="I300" s="37">
        <v>3750.8899630000001</v>
      </c>
      <c r="J300" s="37">
        <v>10868.072367000001</v>
      </c>
      <c r="K300" s="37">
        <v>13952.176310000001</v>
      </c>
      <c r="L300" s="37">
        <v>383.94617399999998</v>
      </c>
      <c r="M300" s="37">
        <v>863.20217600000001</v>
      </c>
      <c r="N300" s="39">
        <f t="shared" si="61"/>
        <v>134.45098900000005</v>
      </c>
      <c r="O300" s="37">
        <v>728.75118699999996</v>
      </c>
      <c r="P300" s="40">
        <v>30</v>
      </c>
      <c r="Q300" s="40">
        <v>0</v>
      </c>
      <c r="R300" s="41">
        <f t="shared" si="62"/>
        <v>30</v>
      </c>
      <c r="S300" s="42">
        <v>1445</v>
      </c>
    </row>
    <row r="301" spans="2:19" ht="15.75" x14ac:dyDescent="0.25">
      <c r="B301" s="60">
        <f t="shared" si="63"/>
        <v>19</v>
      </c>
      <c r="C301" s="60" t="s">
        <v>490</v>
      </c>
      <c r="D301" s="35" t="s">
        <v>491</v>
      </c>
      <c r="E301" s="36">
        <v>43646</v>
      </c>
      <c r="F301" s="37">
        <v>303.02542999999997</v>
      </c>
      <c r="G301" s="38">
        <v>10</v>
      </c>
      <c r="H301" s="39">
        <f t="shared" si="60"/>
        <v>30.302542999999996</v>
      </c>
      <c r="I301" s="37">
        <v>453.313064</v>
      </c>
      <c r="J301" s="37">
        <v>858.310293</v>
      </c>
      <c r="K301" s="37">
        <v>47.715429</v>
      </c>
      <c r="L301" s="37">
        <v>4.3582000000000003E-2</v>
      </c>
      <c r="M301" s="37">
        <v>30.049751000000001</v>
      </c>
      <c r="N301" s="39">
        <f t="shared" si="61"/>
        <v>2.2548929999999991</v>
      </c>
      <c r="O301" s="37">
        <v>27.794858000000001</v>
      </c>
      <c r="P301" s="40">
        <v>0</v>
      </c>
      <c r="Q301" s="40">
        <v>0</v>
      </c>
      <c r="R301" s="41">
        <f t="shared" si="62"/>
        <v>0</v>
      </c>
      <c r="S301" s="42">
        <v>2572</v>
      </c>
    </row>
    <row r="302" spans="2:19" ht="15.75" x14ac:dyDescent="0.25">
      <c r="B302" s="60">
        <f t="shared" si="63"/>
        <v>20</v>
      </c>
      <c r="C302" s="60" t="s">
        <v>492</v>
      </c>
      <c r="D302" s="35" t="s">
        <v>493</v>
      </c>
      <c r="E302" s="36">
        <v>43646</v>
      </c>
      <c r="F302" s="37">
        <v>2992.9639999999999</v>
      </c>
      <c r="G302" s="38">
        <v>10</v>
      </c>
      <c r="H302" s="39">
        <f t="shared" si="60"/>
        <v>299.29640000000001</v>
      </c>
      <c r="I302" s="37">
        <v>16966.814999999999</v>
      </c>
      <c r="J302" s="37">
        <v>25546.578000000001</v>
      </c>
      <c r="K302" s="37">
        <v>21220.134999999998</v>
      </c>
      <c r="L302" s="37">
        <v>411.11099999999999</v>
      </c>
      <c r="M302" s="37">
        <v>2280.9349999999999</v>
      </c>
      <c r="N302" s="39">
        <f t="shared" si="61"/>
        <v>530.29099999999994</v>
      </c>
      <c r="O302" s="37">
        <v>1750.644</v>
      </c>
      <c r="P302" s="40">
        <f>10+7.5</f>
        <v>17.5</v>
      </c>
      <c r="Q302" s="40">
        <v>0</v>
      </c>
      <c r="R302" s="41">
        <f t="shared" si="62"/>
        <v>17.5</v>
      </c>
      <c r="S302" s="42">
        <v>4891</v>
      </c>
    </row>
    <row r="303" spans="2:19" ht="15.75" x14ac:dyDescent="0.25">
      <c r="B303" s="60">
        <f t="shared" si="63"/>
        <v>21</v>
      </c>
      <c r="C303" s="60" t="s">
        <v>494</v>
      </c>
      <c r="D303" s="35" t="s">
        <v>495</v>
      </c>
      <c r="E303" s="36">
        <v>43646</v>
      </c>
      <c r="F303" s="37">
        <v>150</v>
      </c>
      <c r="G303" s="38">
        <v>10</v>
      </c>
      <c r="H303" s="39">
        <f t="shared" si="60"/>
        <v>15</v>
      </c>
      <c r="I303" s="37">
        <v>8564.5078790000007</v>
      </c>
      <c r="J303" s="37">
        <v>25266.245562</v>
      </c>
      <c r="K303" s="37">
        <v>24386.739696000001</v>
      </c>
      <c r="L303" s="37">
        <v>1525.678163</v>
      </c>
      <c r="M303" s="37">
        <v>1062.3356020000001</v>
      </c>
      <c r="N303" s="39">
        <f t="shared" si="61"/>
        <v>231.21909800000014</v>
      </c>
      <c r="O303" s="37">
        <v>831.11650399999996</v>
      </c>
      <c r="P303" s="40">
        <v>0</v>
      </c>
      <c r="Q303" s="40">
        <v>25</v>
      </c>
      <c r="R303" s="41">
        <f t="shared" si="62"/>
        <v>25</v>
      </c>
      <c r="S303" s="42">
        <v>152</v>
      </c>
    </row>
    <row r="304" spans="2:19" ht="15.75" x14ac:dyDescent="0.25">
      <c r="B304" s="60">
        <f t="shared" si="63"/>
        <v>22</v>
      </c>
      <c r="C304" s="60" t="s">
        <v>496</v>
      </c>
      <c r="D304" s="35" t="s">
        <v>497</v>
      </c>
      <c r="E304" s="36">
        <v>43646</v>
      </c>
      <c r="F304" s="37">
        <v>675</v>
      </c>
      <c r="G304" s="38">
        <v>10</v>
      </c>
      <c r="H304" s="39">
        <f t="shared" si="60"/>
        <v>67.5</v>
      </c>
      <c r="I304" s="37">
        <v>11497.739</v>
      </c>
      <c r="J304" s="37">
        <v>37134.451000000001</v>
      </c>
      <c r="K304" s="37">
        <v>34211.379000000001</v>
      </c>
      <c r="L304" s="37">
        <v>1203.1120000000001</v>
      </c>
      <c r="M304" s="37">
        <v>1748.106</v>
      </c>
      <c r="N304" s="39">
        <f t="shared" si="61"/>
        <v>415.69800000000009</v>
      </c>
      <c r="O304" s="37">
        <v>1332.4079999999999</v>
      </c>
      <c r="P304" s="40">
        <v>15</v>
      </c>
      <c r="Q304" s="40">
        <v>0</v>
      </c>
      <c r="R304" s="41">
        <f t="shared" si="62"/>
        <v>15</v>
      </c>
      <c r="S304" s="42">
        <v>1328</v>
      </c>
    </row>
    <row r="305" spans="2:19" ht="15.75" x14ac:dyDescent="0.25">
      <c r="B305" s="60">
        <f t="shared" si="63"/>
        <v>23</v>
      </c>
      <c r="C305" s="60" t="s">
        <v>498</v>
      </c>
      <c r="D305" s="35" t="s">
        <v>499</v>
      </c>
      <c r="E305" s="36">
        <v>43646</v>
      </c>
      <c r="F305" s="37">
        <v>2402.2155600000001</v>
      </c>
      <c r="G305" s="38">
        <v>10</v>
      </c>
      <c r="H305" s="39">
        <f t="shared" si="60"/>
        <v>240.22155600000002</v>
      </c>
      <c r="I305" s="37">
        <v>15338.438442000001</v>
      </c>
      <c r="J305" s="37">
        <v>43507.943454</v>
      </c>
      <c r="K305" s="37">
        <v>39337.640505000003</v>
      </c>
      <c r="L305" s="37">
        <v>2177.576149</v>
      </c>
      <c r="M305" s="37">
        <v>3668.3660559999998</v>
      </c>
      <c r="N305" s="39">
        <f t="shared" si="61"/>
        <v>500.77451599999995</v>
      </c>
      <c r="O305" s="37">
        <v>3167.5915399999999</v>
      </c>
      <c r="P305" s="40">
        <f>15+25</f>
        <v>40</v>
      </c>
      <c r="Q305" s="40">
        <v>0</v>
      </c>
      <c r="R305" s="41">
        <f t="shared" si="62"/>
        <v>40</v>
      </c>
      <c r="S305" s="42">
        <v>7269</v>
      </c>
    </row>
    <row r="306" spans="2:19" ht="15.75" x14ac:dyDescent="0.25">
      <c r="B306" s="60">
        <f t="shared" si="63"/>
        <v>24</v>
      </c>
      <c r="C306" s="60" t="s">
        <v>500</v>
      </c>
      <c r="D306" s="35" t="s">
        <v>501</v>
      </c>
      <c r="E306" s="36">
        <v>43646</v>
      </c>
      <c r="F306" s="37">
        <v>3515.9989999999998</v>
      </c>
      <c r="G306" s="38">
        <v>10</v>
      </c>
      <c r="H306" s="39">
        <f t="shared" si="60"/>
        <v>351.59989999999999</v>
      </c>
      <c r="I306" s="37">
        <v>66615.27</v>
      </c>
      <c r="J306" s="37">
        <v>100545.39200000001</v>
      </c>
      <c r="K306" s="37">
        <v>63499.029000000002</v>
      </c>
      <c r="L306" s="37">
        <v>1668.1659999999999</v>
      </c>
      <c r="M306" s="37">
        <v>6897.0479999999998</v>
      </c>
      <c r="N306" s="39">
        <f t="shared" si="61"/>
        <v>1038</v>
      </c>
      <c r="O306" s="37">
        <v>5859.0479999999998</v>
      </c>
      <c r="P306" s="40">
        <v>40</v>
      </c>
      <c r="Q306" s="40">
        <v>0</v>
      </c>
      <c r="R306" s="41">
        <f t="shared" si="62"/>
        <v>40</v>
      </c>
      <c r="S306" s="42">
        <v>11354</v>
      </c>
    </row>
    <row r="307" spans="2:19" ht="15.75" x14ac:dyDescent="0.25">
      <c r="B307" s="60">
        <f t="shared" si="63"/>
        <v>25</v>
      </c>
      <c r="C307" s="60" t="s">
        <v>502</v>
      </c>
      <c r="D307" s="35" t="s">
        <v>503</v>
      </c>
      <c r="E307" s="36">
        <v>43646</v>
      </c>
      <c r="F307" s="37">
        <v>130</v>
      </c>
      <c r="G307" s="38">
        <v>10</v>
      </c>
      <c r="H307" s="39">
        <f t="shared" si="60"/>
        <v>13</v>
      </c>
      <c r="I307" s="37">
        <v>827.83880899999997</v>
      </c>
      <c r="J307" s="37">
        <v>7534.6728430000003</v>
      </c>
      <c r="K307" s="37">
        <v>4248.4803359999996</v>
      </c>
      <c r="L307" s="37">
        <v>184.909932</v>
      </c>
      <c r="M307" s="37">
        <v>-520.92182000000003</v>
      </c>
      <c r="N307" s="39">
        <f t="shared" si="61"/>
        <v>-152.01797500000004</v>
      </c>
      <c r="O307" s="37">
        <v>-368.90384499999999</v>
      </c>
      <c r="P307" s="40">
        <v>0</v>
      </c>
      <c r="Q307" s="40">
        <v>0</v>
      </c>
      <c r="R307" s="41">
        <f t="shared" si="62"/>
        <v>0</v>
      </c>
      <c r="S307" s="42">
        <v>286</v>
      </c>
    </row>
    <row r="308" spans="2:19" ht="15.75" x14ac:dyDescent="0.25">
      <c r="B308" s="60">
        <f t="shared" si="63"/>
        <v>26</v>
      </c>
      <c r="C308" s="60" t="s">
        <v>504</v>
      </c>
      <c r="D308" s="35" t="s">
        <v>505</v>
      </c>
      <c r="E308" s="36">
        <v>43646</v>
      </c>
      <c r="F308" s="37">
        <v>492.92599999999999</v>
      </c>
      <c r="G308" s="38">
        <v>10</v>
      </c>
      <c r="H308" s="39">
        <f t="shared" si="60"/>
        <v>49.2926</v>
      </c>
      <c r="I308" s="37">
        <v>-22.729804999999999</v>
      </c>
      <c r="J308" s="37">
        <v>1064.884043</v>
      </c>
      <c r="K308" s="37">
        <v>251.36685700000001</v>
      </c>
      <c r="L308" s="37">
        <v>1.3970899999999999</v>
      </c>
      <c r="M308" s="37">
        <v>3.9080370000000002</v>
      </c>
      <c r="N308" s="39">
        <f t="shared" si="61"/>
        <v>2.9660610000000003</v>
      </c>
      <c r="O308" s="37">
        <v>0.94197600000000004</v>
      </c>
      <c r="P308" s="40">
        <v>0</v>
      </c>
      <c r="Q308" s="40">
        <v>0</v>
      </c>
      <c r="R308" s="41">
        <f t="shared" si="62"/>
        <v>0</v>
      </c>
      <c r="S308" s="42">
        <v>1052</v>
      </c>
    </row>
    <row r="309" spans="2:19" ht="15.75" x14ac:dyDescent="0.25">
      <c r="B309" s="60">
        <f t="shared" si="63"/>
        <v>27</v>
      </c>
      <c r="C309" s="60" t="s">
        <v>506</v>
      </c>
      <c r="D309" s="35" t="s">
        <v>507</v>
      </c>
      <c r="E309" s="36">
        <v>43646</v>
      </c>
      <c r="F309" s="37">
        <v>308.10937000000001</v>
      </c>
      <c r="G309" s="38">
        <v>10</v>
      </c>
      <c r="H309" s="39">
        <f t="shared" si="60"/>
        <v>30.810937000000003</v>
      </c>
      <c r="I309" s="37">
        <v>3890.5844050000001</v>
      </c>
      <c r="J309" s="37">
        <v>16810.085107999999</v>
      </c>
      <c r="K309" s="37">
        <v>16605.159288999999</v>
      </c>
      <c r="L309" s="37">
        <v>991.46390399999996</v>
      </c>
      <c r="M309" s="37">
        <v>631.31274800000006</v>
      </c>
      <c r="N309" s="39">
        <f t="shared" si="61"/>
        <v>128.50799100000006</v>
      </c>
      <c r="O309" s="37">
        <v>502.804757</v>
      </c>
      <c r="P309" s="40">
        <v>35</v>
      </c>
      <c r="Q309" s="40">
        <v>0</v>
      </c>
      <c r="R309" s="41">
        <f t="shared" si="62"/>
        <v>35</v>
      </c>
      <c r="S309" s="42">
        <v>1666</v>
      </c>
    </row>
    <row r="310" spans="2:19" ht="15.75" x14ac:dyDescent="0.25">
      <c r="B310" s="60">
        <f t="shared" si="63"/>
        <v>28</v>
      </c>
      <c r="C310" s="60" t="s">
        <v>508</v>
      </c>
      <c r="D310" s="35" t="s">
        <v>509</v>
      </c>
      <c r="E310" s="36">
        <v>43646</v>
      </c>
      <c r="F310" s="37">
        <v>200.8314</v>
      </c>
      <c r="G310" s="38">
        <v>10</v>
      </c>
      <c r="H310" s="39">
        <f t="shared" si="60"/>
        <v>20.08314</v>
      </c>
      <c r="I310" s="37">
        <v>16382.080341999999</v>
      </c>
      <c r="J310" s="37">
        <v>44211.791189000003</v>
      </c>
      <c r="K310" s="37">
        <v>34252.752056999998</v>
      </c>
      <c r="L310" s="37">
        <v>2085.4272510000001</v>
      </c>
      <c r="M310" s="37">
        <v>2946.008542</v>
      </c>
      <c r="N310" s="39">
        <f t="shared" si="61"/>
        <v>386.56859699999995</v>
      </c>
      <c r="O310" s="37">
        <v>2559.4399450000001</v>
      </c>
      <c r="P310" s="40">
        <v>260</v>
      </c>
      <c r="Q310" s="40">
        <v>0</v>
      </c>
      <c r="R310" s="41">
        <f t="shared" si="62"/>
        <v>260</v>
      </c>
      <c r="S310" s="42">
        <v>421</v>
      </c>
    </row>
    <row r="311" spans="2:19" ht="15.75" x14ac:dyDescent="0.25">
      <c r="B311" s="60">
        <f t="shared" si="63"/>
        <v>29</v>
      </c>
      <c r="C311" s="60" t="s">
        <v>510</v>
      </c>
      <c r="D311" s="35" t="s">
        <v>511</v>
      </c>
      <c r="E311" s="36">
        <v>43646</v>
      </c>
      <c r="F311" s="37">
        <v>196.875</v>
      </c>
      <c r="G311" s="38">
        <v>10</v>
      </c>
      <c r="H311" s="39">
        <f t="shared" si="60"/>
        <v>19.6875</v>
      </c>
      <c r="I311" s="37">
        <v>15287.207198</v>
      </c>
      <c r="J311" s="37">
        <v>34902.819106000003</v>
      </c>
      <c r="K311" s="37">
        <v>21750.250243999999</v>
      </c>
      <c r="L311" s="37">
        <v>1262.4727640000001</v>
      </c>
      <c r="M311" s="37">
        <v>1015.8547139999999</v>
      </c>
      <c r="N311" s="39">
        <f t="shared" si="61"/>
        <v>256.65740299999993</v>
      </c>
      <c r="O311" s="37">
        <v>759.19731100000001</v>
      </c>
      <c r="P311" s="40">
        <v>80</v>
      </c>
      <c r="Q311" s="40">
        <v>0</v>
      </c>
      <c r="R311" s="41">
        <f t="shared" si="62"/>
        <v>80</v>
      </c>
      <c r="S311" s="42">
        <v>652</v>
      </c>
    </row>
    <row r="312" spans="2:19" ht="15.75" x14ac:dyDescent="0.25">
      <c r="B312" s="60">
        <f t="shared" si="63"/>
        <v>30</v>
      </c>
      <c r="C312" s="60" t="s">
        <v>512</v>
      </c>
      <c r="D312" s="35" t="s">
        <v>513</v>
      </c>
      <c r="E312" s="36">
        <v>43646</v>
      </c>
      <c r="F312" s="37">
        <v>86.4</v>
      </c>
      <c r="G312" s="38">
        <v>10</v>
      </c>
      <c r="H312" s="39">
        <f t="shared" si="60"/>
        <v>8.64</v>
      </c>
      <c r="I312" s="37">
        <v>676.428</v>
      </c>
      <c r="J312" s="37">
        <v>1734.2249999999999</v>
      </c>
      <c r="K312" s="37">
        <v>5291.7529999999997</v>
      </c>
      <c r="L312" s="37">
        <v>42.924999999999997</v>
      </c>
      <c r="M312" s="37">
        <v>97.11</v>
      </c>
      <c r="N312" s="39">
        <f t="shared" si="61"/>
        <v>53.723999999999997</v>
      </c>
      <c r="O312" s="37">
        <v>43.386000000000003</v>
      </c>
      <c r="P312" s="40">
        <v>10.5</v>
      </c>
      <c r="Q312" s="40">
        <v>0</v>
      </c>
      <c r="R312" s="41">
        <f t="shared" si="62"/>
        <v>10.5</v>
      </c>
      <c r="S312" s="42">
        <v>972</v>
      </c>
    </row>
    <row r="313" spans="2:19" ht="15.75" x14ac:dyDescent="0.25">
      <c r="B313" s="60">
        <f t="shared" si="63"/>
        <v>31</v>
      </c>
      <c r="C313" s="60" t="s">
        <v>514</v>
      </c>
      <c r="D313" s="35" t="s">
        <v>515</v>
      </c>
      <c r="E313" s="36">
        <v>43646</v>
      </c>
      <c r="F313" s="37">
        <v>366.71300000000002</v>
      </c>
      <c r="G313" s="38">
        <v>10</v>
      </c>
      <c r="H313" s="39">
        <f t="shared" si="60"/>
        <v>36.671300000000002</v>
      </c>
      <c r="I313" s="37">
        <v>6067.9780000000001</v>
      </c>
      <c r="J313" s="37">
        <v>11788.504999999999</v>
      </c>
      <c r="K313" s="37">
        <v>13973.634</v>
      </c>
      <c r="L313" s="37">
        <v>184.37</v>
      </c>
      <c r="M313" s="37">
        <v>1070.0719999999999</v>
      </c>
      <c r="N313" s="39">
        <f t="shared" si="61"/>
        <v>211.31699999999989</v>
      </c>
      <c r="O313" s="37">
        <v>858.755</v>
      </c>
      <c r="P313" s="40">
        <v>50</v>
      </c>
      <c r="Q313" s="40">
        <v>0</v>
      </c>
      <c r="R313" s="41">
        <f t="shared" si="62"/>
        <v>50</v>
      </c>
      <c r="S313" s="42">
        <v>720</v>
      </c>
    </row>
    <row r="314" spans="2:19" ht="15.75" x14ac:dyDescent="0.25">
      <c r="B314" s="60">
        <f t="shared" si="63"/>
        <v>32</v>
      </c>
      <c r="C314" s="60" t="s">
        <v>516</v>
      </c>
      <c r="D314" s="35" t="s">
        <v>517</v>
      </c>
      <c r="E314" s="36">
        <v>43646</v>
      </c>
      <c r="F314" s="37">
        <v>170</v>
      </c>
      <c r="G314" s="38">
        <v>10</v>
      </c>
      <c r="H314" s="39">
        <f t="shared" si="60"/>
        <v>17</v>
      </c>
      <c r="I314" s="37">
        <v>2043.418414</v>
      </c>
      <c r="J314" s="37">
        <v>2729.30638</v>
      </c>
      <c r="K314" s="37">
        <v>3848.2849809999998</v>
      </c>
      <c r="L314" s="37">
        <v>6.4823690000000003</v>
      </c>
      <c r="M314" s="37">
        <v>445.89037000000002</v>
      </c>
      <c r="N314" s="39">
        <f t="shared" si="61"/>
        <v>48.39298500000001</v>
      </c>
      <c r="O314" s="37">
        <v>397.49738500000001</v>
      </c>
      <c r="P314" s="40">
        <v>0</v>
      </c>
      <c r="Q314" s="40">
        <v>0</v>
      </c>
      <c r="R314" s="41">
        <f t="shared" si="62"/>
        <v>0</v>
      </c>
      <c r="S314" s="42">
        <v>561</v>
      </c>
    </row>
    <row r="315" spans="2:19" ht="15.75" x14ac:dyDescent="0.25">
      <c r="B315" s="60">
        <f t="shared" si="63"/>
        <v>33</v>
      </c>
      <c r="C315" s="60" t="s">
        <v>518</v>
      </c>
      <c r="D315" s="35" t="s">
        <v>519</v>
      </c>
      <c r="E315" s="36">
        <v>43646</v>
      </c>
      <c r="F315" s="37">
        <v>1914.21099</v>
      </c>
      <c r="G315" s="38">
        <v>10</v>
      </c>
      <c r="H315" s="39">
        <f t="shared" si="60"/>
        <v>191.421099</v>
      </c>
      <c r="I315" s="37">
        <v>5914.6643299999996</v>
      </c>
      <c r="J315" s="37">
        <v>8145.5006210000001</v>
      </c>
      <c r="K315" s="37">
        <v>13444.689297999999</v>
      </c>
      <c r="L315" s="37">
        <v>388.56871000000001</v>
      </c>
      <c r="M315" s="37">
        <v>744.40369999999996</v>
      </c>
      <c r="N315" s="39">
        <f t="shared" si="61"/>
        <v>-37.255097000000092</v>
      </c>
      <c r="O315" s="37">
        <v>781.65879700000005</v>
      </c>
      <c r="P315" s="40">
        <v>8.5</v>
      </c>
      <c r="Q315" s="40">
        <v>0</v>
      </c>
      <c r="R315" s="41">
        <f t="shared" si="62"/>
        <v>8.5</v>
      </c>
      <c r="S315" s="42">
        <v>3312</v>
      </c>
    </row>
    <row r="316" spans="2:19" ht="15.75" x14ac:dyDescent="0.25">
      <c r="B316" s="76"/>
      <c r="C316" s="76"/>
      <c r="D316" s="77"/>
      <c r="E316" s="64"/>
      <c r="F316" s="78"/>
      <c r="G316" s="43"/>
      <c r="H316" s="79"/>
      <c r="I316" s="78"/>
      <c r="J316" s="78"/>
      <c r="K316" s="78"/>
      <c r="L316" s="78"/>
      <c r="M316" s="78"/>
      <c r="N316" s="79"/>
      <c r="O316" s="78"/>
      <c r="P316" s="80"/>
      <c r="Q316" s="80"/>
      <c r="R316" s="81"/>
      <c r="S316" s="82"/>
    </row>
    <row r="317" spans="2:19" ht="18.75" x14ac:dyDescent="0.3">
      <c r="B317" s="29"/>
      <c r="C317" s="29"/>
      <c r="D317" s="56" t="s">
        <v>43</v>
      </c>
      <c r="E317" s="29"/>
      <c r="F317" s="29"/>
      <c r="G317" s="43"/>
      <c r="H317" s="44"/>
      <c r="I317" s="31"/>
      <c r="J317" s="31"/>
      <c r="K317" s="31"/>
      <c r="L317" s="31"/>
      <c r="M317" s="31"/>
      <c r="N317" s="45"/>
      <c r="O317" s="31"/>
      <c r="P317" s="31"/>
      <c r="Q317" s="31"/>
      <c r="R317" s="45"/>
      <c r="S317" s="31"/>
    </row>
    <row r="318" spans="2:19" ht="15.75" x14ac:dyDescent="0.25">
      <c r="B318" s="60">
        <v>1</v>
      </c>
      <c r="C318" s="60" t="s">
        <v>520</v>
      </c>
      <c r="D318" s="35" t="s">
        <v>521</v>
      </c>
      <c r="E318" s="36">
        <v>43646</v>
      </c>
      <c r="F318" s="37"/>
      <c r="G318" s="38">
        <v>10</v>
      </c>
      <c r="H318" s="39">
        <f t="shared" ref="H318:H336" si="65">+F318/G318</f>
        <v>0</v>
      </c>
      <c r="I318" s="37"/>
      <c r="J318" s="37"/>
      <c r="K318" s="37"/>
      <c r="L318" s="37"/>
      <c r="M318" s="37"/>
      <c r="N318" s="39">
        <f t="shared" ref="N318:N336" si="66">+M318-O318</f>
        <v>0</v>
      </c>
      <c r="O318" s="37"/>
      <c r="P318" s="40"/>
      <c r="Q318" s="40"/>
      <c r="R318" s="41">
        <f t="shared" ref="R318:R336" si="67">SUM(P318:Q318)</f>
        <v>0</v>
      </c>
      <c r="S318" s="42"/>
    </row>
    <row r="319" spans="2:19" ht="15.75" x14ac:dyDescent="0.25">
      <c r="B319" s="60">
        <f>+B318+1</f>
        <v>2</v>
      </c>
      <c r="C319" s="60" t="s">
        <v>522</v>
      </c>
      <c r="D319" s="35" t="s">
        <v>523</v>
      </c>
      <c r="E319" s="36">
        <v>43646</v>
      </c>
      <c r="F319" s="37"/>
      <c r="G319" s="38">
        <v>10</v>
      </c>
      <c r="H319" s="39">
        <f t="shared" si="65"/>
        <v>0</v>
      </c>
      <c r="I319" s="37"/>
      <c r="J319" s="37"/>
      <c r="K319" s="37"/>
      <c r="L319" s="37"/>
      <c r="M319" s="37"/>
      <c r="N319" s="39">
        <f t="shared" si="66"/>
        <v>0</v>
      </c>
      <c r="O319" s="37"/>
      <c r="P319" s="40"/>
      <c r="Q319" s="40"/>
      <c r="R319" s="41">
        <f t="shared" si="67"/>
        <v>0</v>
      </c>
      <c r="S319" s="42"/>
    </row>
    <row r="320" spans="2:19" ht="15.75" x14ac:dyDescent="0.25">
      <c r="B320" s="60">
        <f>+B319+1</f>
        <v>3</v>
      </c>
      <c r="C320" s="60" t="s">
        <v>524</v>
      </c>
      <c r="D320" s="35" t="s">
        <v>525</v>
      </c>
      <c r="E320" s="36">
        <v>43646</v>
      </c>
      <c r="F320" s="37">
        <v>20</v>
      </c>
      <c r="G320" s="38">
        <v>10</v>
      </c>
      <c r="H320" s="39">
        <f t="shared" si="65"/>
        <v>2</v>
      </c>
      <c r="I320" s="37">
        <v>-274.86988300000002</v>
      </c>
      <c r="J320" s="37">
        <v>19.579167000000002</v>
      </c>
      <c r="K320" s="37">
        <v>0</v>
      </c>
      <c r="L320" s="37">
        <v>0</v>
      </c>
      <c r="M320" s="37">
        <v>-18.744803999999998</v>
      </c>
      <c r="N320" s="39">
        <f t="shared" si="66"/>
        <v>0</v>
      </c>
      <c r="O320" s="37">
        <v>-18.744803999999998</v>
      </c>
      <c r="P320" s="40">
        <v>0</v>
      </c>
      <c r="Q320" s="40">
        <v>0</v>
      </c>
      <c r="R320" s="41">
        <f t="shared" si="67"/>
        <v>0</v>
      </c>
      <c r="S320" s="42">
        <v>126</v>
      </c>
    </row>
    <row r="321" spans="2:19" ht="15.75" x14ac:dyDescent="0.25">
      <c r="B321" s="60">
        <f t="shared" ref="B321:B336" si="68">+B320+1</f>
        <v>4</v>
      </c>
      <c r="C321" s="60" t="s">
        <v>526</v>
      </c>
      <c r="D321" s="35" t="s">
        <v>527</v>
      </c>
      <c r="E321" s="36">
        <v>43646</v>
      </c>
      <c r="F321" s="37"/>
      <c r="G321" s="38">
        <v>10</v>
      </c>
      <c r="H321" s="39">
        <f t="shared" si="65"/>
        <v>0</v>
      </c>
      <c r="I321" s="37"/>
      <c r="J321" s="37"/>
      <c r="K321" s="37"/>
      <c r="L321" s="37"/>
      <c r="M321" s="37"/>
      <c r="N321" s="39">
        <f t="shared" si="66"/>
        <v>0</v>
      </c>
      <c r="O321" s="37"/>
      <c r="P321" s="40"/>
      <c r="Q321" s="40"/>
      <c r="R321" s="41">
        <f t="shared" si="67"/>
        <v>0</v>
      </c>
      <c r="S321" s="42"/>
    </row>
    <row r="322" spans="2:19" ht="15.75" x14ac:dyDescent="0.25">
      <c r="B322" s="60">
        <f t="shared" si="68"/>
        <v>5</v>
      </c>
      <c r="C322" s="60" t="s">
        <v>528</v>
      </c>
      <c r="D322" s="35" t="s">
        <v>529</v>
      </c>
      <c r="E322" s="36">
        <v>43646</v>
      </c>
      <c r="F322" s="37">
        <v>129.96304000000001</v>
      </c>
      <c r="G322" s="38">
        <v>10</v>
      </c>
      <c r="H322" s="39">
        <f>+F322/G322</f>
        <v>12.996304</v>
      </c>
      <c r="I322" s="37">
        <v>168.544273</v>
      </c>
      <c r="J322" s="37">
        <v>392.84948400000002</v>
      </c>
      <c r="K322" s="37">
        <v>385.70691499999998</v>
      </c>
      <c r="L322" s="37">
        <v>8.8542330000000007</v>
      </c>
      <c r="M322" s="37">
        <v>11.967273</v>
      </c>
      <c r="N322" s="39">
        <f>+M322-O322</f>
        <v>4.1279600000000007</v>
      </c>
      <c r="O322" s="37">
        <v>7.8393129999999998</v>
      </c>
      <c r="P322" s="40">
        <v>0</v>
      </c>
      <c r="Q322" s="40">
        <v>0</v>
      </c>
      <c r="R322" s="41">
        <f>SUM(P322:Q322)</f>
        <v>0</v>
      </c>
      <c r="S322" s="42">
        <v>816</v>
      </c>
    </row>
    <row r="323" spans="2:19" ht="15.75" x14ac:dyDescent="0.25">
      <c r="B323" s="60">
        <f t="shared" si="68"/>
        <v>6</v>
      </c>
      <c r="C323" s="60" t="s">
        <v>530</v>
      </c>
      <c r="D323" s="35" t="s">
        <v>531</v>
      </c>
      <c r="E323" s="36">
        <v>43646</v>
      </c>
      <c r="F323" s="37">
        <v>132.71600000000001</v>
      </c>
      <c r="G323" s="38">
        <v>10</v>
      </c>
      <c r="H323" s="39">
        <f t="shared" si="65"/>
        <v>13.271600000000001</v>
      </c>
      <c r="I323" s="37">
        <v>362.63462299999998</v>
      </c>
      <c r="J323" s="37">
        <v>541.056152</v>
      </c>
      <c r="K323" s="37">
        <v>218.66324599999999</v>
      </c>
      <c r="L323" s="37">
        <v>0.234765</v>
      </c>
      <c r="M323" s="37">
        <v>-12.999140000000001</v>
      </c>
      <c r="N323" s="39">
        <f t="shared" si="66"/>
        <v>2.7332900000000002</v>
      </c>
      <c r="O323" s="37">
        <v>-15.732430000000001</v>
      </c>
      <c r="P323" s="40">
        <v>0</v>
      </c>
      <c r="Q323" s="40">
        <v>0</v>
      </c>
      <c r="R323" s="41">
        <f t="shared" si="67"/>
        <v>0</v>
      </c>
      <c r="S323" s="42">
        <v>296</v>
      </c>
    </row>
    <row r="324" spans="2:19" ht="15.75" x14ac:dyDescent="0.25">
      <c r="B324" s="60">
        <f>+B323+1</f>
        <v>7</v>
      </c>
      <c r="C324" s="60" t="s">
        <v>532</v>
      </c>
      <c r="D324" s="35" t="s">
        <v>533</v>
      </c>
      <c r="E324" s="36">
        <v>43646</v>
      </c>
      <c r="F324" s="37">
        <v>106.259</v>
      </c>
      <c r="G324" s="38">
        <v>10</v>
      </c>
      <c r="H324" s="39">
        <f t="shared" si="65"/>
        <v>10.6259</v>
      </c>
      <c r="I324" s="37">
        <v>-944.56700000000001</v>
      </c>
      <c r="J324" s="37">
        <v>380.01400000000001</v>
      </c>
      <c r="K324" s="37">
        <v>63.832000000000001</v>
      </c>
      <c r="L324" s="37">
        <v>5.0000000000000001E-3</v>
      </c>
      <c r="M324" s="37">
        <v>3.1539999999999999</v>
      </c>
      <c r="N324" s="39">
        <f t="shared" si="66"/>
        <v>-2.3129999999999997</v>
      </c>
      <c r="O324" s="37">
        <v>5.4669999999999996</v>
      </c>
      <c r="P324" s="40">
        <v>0</v>
      </c>
      <c r="Q324" s="40">
        <v>0</v>
      </c>
      <c r="R324" s="41">
        <f t="shared" si="67"/>
        <v>0</v>
      </c>
      <c r="S324" s="42">
        <v>1019</v>
      </c>
    </row>
    <row r="325" spans="2:19" ht="15.75" x14ac:dyDescent="0.25">
      <c r="B325" s="60">
        <f t="shared" ref="B325:B326" si="69">+B324+1</f>
        <v>8</v>
      </c>
      <c r="C325" s="60" t="s">
        <v>534</v>
      </c>
      <c r="D325" s="47" t="s">
        <v>535</v>
      </c>
      <c r="E325" s="36">
        <v>43646</v>
      </c>
      <c r="F325" s="37">
        <v>324.91205000000002</v>
      </c>
      <c r="G325" s="38">
        <v>10</v>
      </c>
      <c r="H325" s="39">
        <f>+F325/G325</f>
        <v>32.491205000000001</v>
      </c>
      <c r="I325" s="37">
        <v>677.18942900000002</v>
      </c>
      <c r="J325" s="37">
        <v>818.19459300000005</v>
      </c>
      <c r="K325" s="37">
        <v>23.682251999999998</v>
      </c>
      <c r="L325" s="37">
        <v>4.3111999999999998E-2</v>
      </c>
      <c r="M325" s="37">
        <v>33.695053999999999</v>
      </c>
      <c r="N325" s="39">
        <f>+M325-O325</f>
        <v>4.8042540000000002</v>
      </c>
      <c r="O325" s="37">
        <v>28.890799999999999</v>
      </c>
      <c r="P325" s="40">
        <v>0</v>
      </c>
      <c r="Q325" s="40">
        <v>0</v>
      </c>
      <c r="R325" s="41">
        <f>SUM(P325:Q325)</f>
        <v>0</v>
      </c>
      <c r="S325" s="42">
        <v>1437</v>
      </c>
    </row>
    <row r="326" spans="2:19" ht="15.75" x14ac:dyDescent="0.25">
      <c r="B326" s="60">
        <f t="shared" si="69"/>
        <v>9</v>
      </c>
      <c r="C326" s="60" t="s">
        <v>536</v>
      </c>
      <c r="D326" s="35" t="s">
        <v>537</v>
      </c>
      <c r="E326" s="36">
        <v>43646</v>
      </c>
      <c r="F326" s="37"/>
      <c r="G326" s="38">
        <v>10</v>
      </c>
      <c r="H326" s="39">
        <f t="shared" si="65"/>
        <v>0</v>
      </c>
      <c r="I326" s="37"/>
      <c r="J326" s="37"/>
      <c r="K326" s="37"/>
      <c r="L326" s="37"/>
      <c r="M326" s="37"/>
      <c r="N326" s="39">
        <f t="shared" si="66"/>
        <v>0</v>
      </c>
      <c r="O326" s="37"/>
      <c r="P326" s="40"/>
      <c r="Q326" s="40"/>
      <c r="R326" s="41">
        <f t="shared" si="67"/>
        <v>0</v>
      </c>
      <c r="S326" s="42"/>
    </row>
    <row r="327" spans="2:19" ht="15.75" x14ac:dyDescent="0.25">
      <c r="B327" s="60">
        <f t="shared" si="68"/>
        <v>10</v>
      </c>
      <c r="C327" s="60" t="s">
        <v>538</v>
      </c>
      <c r="D327" s="35" t="s">
        <v>539</v>
      </c>
      <c r="E327" s="36">
        <v>43646</v>
      </c>
      <c r="F327" s="37"/>
      <c r="G327" s="38">
        <v>10</v>
      </c>
      <c r="H327" s="39">
        <f t="shared" si="65"/>
        <v>0</v>
      </c>
      <c r="I327" s="37"/>
      <c r="J327" s="37"/>
      <c r="K327" s="37"/>
      <c r="L327" s="37"/>
      <c r="M327" s="37"/>
      <c r="N327" s="39">
        <f t="shared" si="66"/>
        <v>0</v>
      </c>
      <c r="O327" s="37"/>
      <c r="P327" s="40"/>
      <c r="Q327" s="40"/>
      <c r="R327" s="41">
        <f t="shared" si="67"/>
        <v>0</v>
      </c>
      <c r="S327" s="42"/>
    </row>
    <row r="328" spans="2:19" ht="15.75" x14ac:dyDescent="0.25">
      <c r="B328" s="60">
        <f t="shared" si="68"/>
        <v>11</v>
      </c>
      <c r="C328" s="60" t="s">
        <v>540</v>
      </c>
      <c r="D328" s="47" t="s">
        <v>541</v>
      </c>
      <c r="E328" s="36">
        <v>43646</v>
      </c>
      <c r="F328" s="70">
        <v>221.05199999999999</v>
      </c>
      <c r="G328" s="71">
        <v>10</v>
      </c>
      <c r="H328" s="72">
        <f>+F328/G328</f>
        <v>22.1052</v>
      </c>
      <c r="I328" s="70">
        <v>33.796945000000001</v>
      </c>
      <c r="J328" s="70">
        <v>81.842506999999998</v>
      </c>
      <c r="K328" s="70">
        <v>2.11625</v>
      </c>
      <c r="L328" s="70">
        <v>8.9779999999999999E-3</v>
      </c>
      <c r="M328" s="70">
        <v>93.828216999999995</v>
      </c>
      <c r="N328" s="72">
        <f>+M328-O328</f>
        <v>2.6452999999989402E-2</v>
      </c>
      <c r="O328" s="70">
        <v>93.801764000000006</v>
      </c>
      <c r="P328" s="73">
        <v>0</v>
      </c>
      <c r="Q328" s="73">
        <v>0</v>
      </c>
      <c r="R328" s="74">
        <f>SUM(P328:Q328)</f>
        <v>0</v>
      </c>
      <c r="S328" s="75">
        <v>1711</v>
      </c>
    </row>
    <row r="329" spans="2:19" ht="15.75" x14ac:dyDescent="0.25">
      <c r="B329" s="60">
        <f t="shared" si="68"/>
        <v>12</v>
      </c>
      <c r="C329" s="60" t="s">
        <v>542</v>
      </c>
      <c r="D329" s="35" t="s">
        <v>543</v>
      </c>
      <c r="E329" s="36">
        <v>43646</v>
      </c>
      <c r="F329" s="37">
        <v>54</v>
      </c>
      <c r="G329" s="38">
        <v>10</v>
      </c>
      <c r="H329" s="39">
        <f t="shared" si="65"/>
        <v>5.4</v>
      </c>
      <c r="I329" s="37">
        <v>82.662661999999997</v>
      </c>
      <c r="J329" s="37">
        <v>155.72950599999999</v>
      </c>
      <c r="K329" s="37">
        <v>0</v>
      </c>
      <c r="L329" s="37">
        <v>2.5469999999999998E-3</v>
      </c>
      <c r="M329" s="37">
        <v>0.94619900000000001</v>
      </c>
      <c r="N329" s="39">
        <f t="shared" si="66"/>
        <v>1.6582029999999999</v>
      </c>
      <c r="O329" s="37">
        <v>-0.71200399999999997</v>
      </c>
      <c r="P329" s="40">
        <v>0</v>
      </c>
      <c r="Q329" s="40">
        <v>0</v>
      </c>
      <c r="R329" s="41">
        <f t="shared" si="67"/>
        <v>0</v>
      </c>
      <c r="S329" s="42">
        <v>611</v>
      </c>
    </row>
    <row r="330" spans="2:19" ht="15.75" x14ac:dyDescent="0.25">
      <c r="B330" s="60">
        <f t="shared" si="68"/>
        <v>13</v>
      </c>
      <c r="C330" s="60" t="s">
        <v>544</v>
      </c>
      <c r="D330" s="47" t="s">
        <v>545</v>
      </c>
      <c r="E330" s="36">
        <v>43646</v>
      </c>
      <c r="F330" s="70"/>
      <c r="G330" s="71">
        <v>10</v>
      </c>
      <c r="H330" s="72">
        <f t="shared" si="65"/>
        <v>0</v>
      </c>
      <c r="I330" s="70"/>
      <c r="J330" s="70"/>
      <c r="K330" s="70"/>
      <c r="L330" s="70"/>
      <c r="M330" s="70"/>
      <c r="N330" s="72">
        <f t="shared" si="66"/>
        <v>0</v>
      </c>
      <c r="O330" s="70"/>
      <c r="P330" s="73"/>
      <c r="Q330" s="73"/>
      <c r="R330" s="74">
        <f t="shared" si="67"/>
        <v>0</v>
      </c>
      <c r="S330" s="75"/>
    </row>
    <row r="331" spans="2:19" ht="15.75" x14ac:dyDescent="0.25">
      <c r="B331" s="60">
        <f t="shared" si="68"/>
        <v>14</v>
      </c>
      <c r="C331" s="60" t="s">
        <v>546</v>
      </c>
      <c r="D331" s="35" t="s">
        <v>547</v>
      </c>
      <c r="E331" s="36">
        <v>43646</v>
      </c>
      <c r="F331" s="37">
        <v>173.523</v>
      </c>
      <c r="G331" s="38">
        <v>10</v>
      </c>
      <c r="H331" s="39">
        <f t="shared" si="65"/>
        <v>17.3523</v>
      </c>
      <c r="I331" s="37"/>
      <c r="J331" s="37"/>
      <c r="K331" s="37"/>
      <c r="L331" s="37"/>
      <c r="M331" s="37">
        <v>-237.87</v>
      </c>
      <c r="N331" s="39">
        <f t="shared" si="66"/>
        <v>-52.346000000000004</v>
      </c>
      <c r="O331" s="37">
        <v>-185.524</v>
      </c>
      <c r="P331" s="40">
        <v>0</v>
      </c>
      <c r="Q331" s="40">
        <v>0</v>
      </c>
      <c r="R331" s="41">
        <f t="shared" si="67"/>
        <v>0</v>
      </c>
      <c r="S331" s="42"/>
    </row>
    <row r="332" spans="2:19" ht="15.75" x14ac:dyDescent="0.25">
      <c r="B332" s="60">
        <f t="shared" si="68"/>
        <v>15</v>
      </c>
      <c r="C332" s="60" t="s">
        <v>548</v>
      </c>
      <c r="D332" s="35" t="s">
        <v>549</v>
      </c>
      <c r="E332" s="36">
        <v>43646</v>
      </c>
      <c r="F332" s="37"/>
      <c r="G332" s="38">
        <v>10</v>
      </c>
      <c r="H332" s="39">
        <f t="shared" si="65"/>
        <v>0</v>
      </c>
      <c r="I332" s="37"/>
      <c r="J332" s="37"/>
      <c r="K332" s="37"/>
      <c r="L332" s="37"/>
      <c r="M332" s="37"/>
      <c r="N332" s="39">
        <f t="shared" si="66"/>
        <v>0</v>
      </c>
      <c r="O332" s="37"/>
      <c r="P332" s="40"/>
      <c r="Q332" s="40"/>
      <c r="R332" s="41">
        <f t="shared" si="67"/>
        <v>0</v>
      </c>
      <c r="S332" s="42"/>
    </row>
    <row r="333" spans="2:19" ht="15.75" x14ac:dyDescent="0.25">
      <c r="B333" s="60">
        <f t="shared" si="68"/>
        <v>16</v>
      </c>
      <c r="C333" s="60" t="s">
        <v>550</v>
      </c>
      <c r="D333" s="35" t="s">
        <v>551</v>
      </c>
      <c r="E333" s="36">
        <v>43646</v>
      </c>
      <c r="F333" s="37"/>
      <c r="G333" s="38">
        <v>10</v>
      </c>
      <c r="H333" s="39">
        <f t="shared" si="65"/>
        <v>0</v>
      </c>
      <c r="I333" s="37"/>
      <c r="J333" s="37"/>
      <c r="K333" s="37"/>
      <c r="L333" s="37"/>
      <c r="M333" s="37"/>
      <c r="N333" s="39">
        <f t="shared" si="66"/>
        <v>0</v>
      </c>
      <c r="O333" s="37"/>
      <c r="P333" s="40"/>
      <c r="Q333" s="40"/>
      <c r="R333" s="41">
        <f t="shared" si="67"/>
        <v>0</v>
      </c>
      <c r="S333" s="42"/>
    </row>
    <row r="334" spans="2:19" ht="15.75" x14ac:dyDescent="0.25">
      <c r="B334" s="60">
        <f t="shared" si="68"/>
        <v>17</v>
      </c>
      <c r="C334" s="60" t="s">
        <v>552</v>
      </c>
      <c r="D334" s="35" t="s">
        <v>553</v>
      </c>
      <c r="E334" s="36">
        <v>43646</v>
      </c>
      <c r="F334" s="37"/>
      <c r="G334" s="38">
        <v>10</v>
      </c>
      <c r="H334" s="39">
        <f t="shared" si="65"/>
        <v>0</v>
      </c>
      <c r="I334" s="37"/>
      <c r="J334" s="37"/>
      <c r="K334" s="37"/>
      <c r="L334" s="37"/>
      <c r="M334" s="37"/>
      <c r="N334" s="39">
        <f t="shared" si="66"/>
        <v>0</v>
      </c>
      <c r="O334" s="37"/>
      <c r="P334" s="40"/>
      <c r="Q334" s="40"/>
      <c r="R334" s="41">
        <f t="shared" si="67"/>
        <v>0</v>
      </c>
      <c r="S334" s="42"/>
    </row>
    <row r="335" spans="2:19" ht="15.75" x14ac:dyDescent="0.25">
      <c r="B335" s="60">
        <f t="shared" si="68"/>
        <v>18</v>
      </c>
      <c r="C335" s="60" t="s">
        <v>554</v>
      </c>
      <c r="D335" s="35" t="s">
        <v>555</v>
      </c>
      <c r="E335" s="36">
        <v>43646</v>
      </c>
      <c r="F335" s="37"/>
      <c r="G335" s="38">
        <v>10</v>
      </c>
      <c r="H335" s="39">
        <f t="shared" si="65"/>
        <v>0</v>
      </c>
      <c r="I335" s="37"/>
      <c r="J335" s="37"/>
      <c r="K335" s="37"/>
      <c r="L335" s="37"/>
      <c r="M335" s="37"/>
      <c r="N335" s="39">
        <f t="shared" si="66"/>
        <v>0</v>
      </c>
      <c r="O335" s="37"/>
      <c r="P335" s="40"/>
      <c r="Q335" s="40"/>
      <c r="R335" s="41">
        <f t="shared" si="67"/>
        <v>0</v>
      </c>
      <c r="S335" s="42"/>
    </row>
    <row r="336" spans="2:19" ht="15.75" x14ac:dyDescent="0.25">
      <c r="B336" s="60">
        <f t="shared" si="68"/>
        <v>19</v>
      </c>
      <c r="C336" s="60" t="s">
        <v>556</v>
      </c>
      <c r="D336" s="35" t="s">
        <v>557</v>
      </c>
      <c r="E336" s="36">
        <v>43646</v>
      </c>
      <c r="F336" s="37"/>
      <c r="G336" s="38">
        <v>10</v>
      </c>
      <c r="H336" s="39">
        <f t="shared" si="65"/>
        <v>0</v>
      </c>
      <c r="I336" s="37"/>
      <c r="J336" s="37"/>
      <c r="K336" s="37"/>
      <c r="L336" s="37"/>
      <c r="M336" s="37"/>
      <c r="N336" s="39">
        <f t="shared" si="66"/>
        <v>0</v>
      </c>
      <c r="O336" s="37"/>
      <c r="P336" s="40"/>
      <c r="Q336" s="40"/>
      <c r="R336" s="41">
        <f t="shared" si="67"/>
        <v>0</v>
      </c>
      <c r="S336" s="42"/>
    </row>
    <row r="337" spans="2:19" ht="15.75" x14ac:dyDescent="0.25">
      <c r="B337" s="76"/>
      <c r="C337" s="76"/>
      <c r="D337" s="77"/>
      <c r="E337" s="64"/>
      <c r="F337" s="78"/>
      <c r="G337" s="43"/>
      <c r="H337" s="79"/>
      <c r="I337" s="78"/>
      <c r="J337" s="78"/>
      <c r="K337" s="78"/>
      <c r="L337" s="78"/>
      <c r="M337" s="78"/>
      <c r="N337" s="79"/>
      <c r="O337" s="78"/>
      <c r="P337" s="80"/>
      <c r="Q337" s="80"/>
      <c r="R337" s="81"/>
      <c r="S337" s="82"/>
    </row>
    <row r="338" spans="2:19" ht="15.75" x14ac:dyDescent="0.25">
      <c r="B338" s="34">
        <f>COUNT(B283:B337)</f>
        <v>52</v>
      </c>
      <c r="C338" s="34"/>
      <c r="D338" s="48"/>
      <c r="E338" s="48"/>
      <c r="F338" s="48">
        <f>SUM(F283:F337)</f>
        <v>39342.778758000008</v>
      </c>
      <c r="G338" s="49"/>
      <c r="H338" s="50">
        <f t="shared" ref="H338:O338" si="70">SUM(H283:H337)</f>
        <v>3934.2778758000009</v>
      </c>
      <c r="I338" s="48">
        <f t="shared" si="70"/>
        <v>266544.09581400006</v>
      </c>
      <c r="J338" s="48">
        <f t="shared" si="70"/>
        <v>601838.42399299971</v>
      </c>
      <c r="K338" s="48">
        <f t="shared" si="70"/>
        <v>529166.18833999988</v>
      </c>
      <c r="L338" s="48">
        <f t="shared" si="70"/>
        <v>18651.312806000002</v>
      </c>
      <c r="M338" s="48">
        <f t="shared" si="70"/>
        <v>44796.327789000003</v>
      </c>
      <c r="N338" s="51">
        <f t="shared" si="70"/>
        <v>5941.2909560000007</v>
      </c>
      <c r="O338" s="48">
        <f t="shared" si="70"/>
        <v>38855.036833000013</v>
      </c>
      <c r="P338" s="52"/>
      <c r="Q338" s="52"/>
      <c r="R338" s="53"/>
      <c r="S338" s="54">
        <f>SUM(S283:S337)</f>
        <v>79119</v>
      </c>
    </row>
    <row r="339" spans="2:19" ht="15.75" x14ac:dyDescent="0.25">
      <c r="B339" s="76"/>
      <c r="C339" s="76"/>
      <c r="D339" s="77"/>
      <c r="E339" s="64"/>
      <c r="F339" s="78"/>
      <c r="G339" s="43"/>
      <c r="H339" s="79"/>
      <c r="I339" s="78"/>
      <c r="J339" s="78"/>
      <c r="K339" s="78"/>
      <c r="L339" s="78"/>
      <c r="M339" s="78"/>
      <c r="N339" s="79"/>
      <c r="O339" s="78"/>
      <c r="P339" s="80"/>
      <c r="Q339" s="80"/>
      <c r="R339" s="81"/>
      <c r="S339" s="82"/>
    </row>
    <row r="340" spans="2:19" ht="15.75" x14ac:dyDescent="0.25">
      <c r="B340" s="76"/>
      <c r="C340" s="76"/>
      <c r="D340" s="77"/>
      <c r="E340" s="64"/>
      <c r="F340" s="78"/>
      <c r="G340" s="43"/>
      <c r="H340" s="79"/>
      <c r="I340" s="78"/>
      <c r="J340" s="78"/>
      <c r="K340" s="78"/>
      <c r="L340" s="78"/>
      <c r="M340" s="78"/>
      <c r="N340" s="79"/>
      <c r="O340" s="78"/>
      <c r="P340" s="80"/>
      <c r="Q340" s="80"/>
      <c r="R340" s="81"/>
      <c r="S340" s="82"/>
    </row>
    <row r="341" spans="2:19" ht="18.75" x14ac:dyDescent="0.3">
      <c r="B341" s="29"/>
      <c r="C341" s="33">
        <v>11</v>
      </c>
      <c r="D341" s="33" t="s">
        <v>558</v>
      </c>
      <c r="E341" s="61"/>
      <c r="F341" s="61"/>
      <c r="G341" s="43"/>
      <c r="H341" s="44"/>
      <c r="I341" s="31"/>
      <c r="J341" s="31"/>
      <c r="K341" s="31"/>
      <c r="L341" s="31"/>
      <c r="M341" s="31"/>
      <c r="N341" s="45"/>
      <c r="O341" s="31"/>
      <c r="P341" s="31"/>
      <c r="Q341" s="31"/>
      <c r="R341" s="45"/>
      <c r="S341" s="31"/>
    </row>
    <row r="342" spans="2:19" ht="15.75" x14ac:dyDescent="0.25">
      <c r="B342" s="76"/>
      <c r="C342" s="76"/>
      <c r="D342" s="77"/>
      <c r="E342" s="64"/>
      <c r="F342" s="78"/>
      <c r="G342" s="43"/>
      <c r="H342" s="79"/>
      <c r="I342" s="78"/>
      <c r="J342" s="78"/>
      <c r="K342" s="78"/>
      <c r="L342" s="78"/>
      <c r="M342" s="78"/>
      <c r="N342" s="79"/>
      <c r="O342" s="78"/>
      <c r="P342" s="80"/>
      <c r="Q342" s="80"/>
      <c r="R342" s="81"/>
      <c r="S342" s="82"/>
    </row>
    <row r="343" spans="2:19" ht="15.75" x14ac:dyDescent="0.25">
      <c r="B343" s="60">
        <v>1</v>
      </c>
      <c r="C343" s="60" t="s">
        <v>559</v>
      </c>
      <c r="D343" s="35" t="s">
        <v>560</v>
      </c>
      <c r="E343" s="36">
        <v>43646</v>
      </c>
      <c r="F343" s="37">
        <v>95.063000000000002</v>
      </c>
      <c r="G343" s="38">
        <v>10</v>
      </c>
      <c r="H343" s="39">
        <f>+F343/G343</f>
        <v>9.5062999999999995</v>
      </c>
      <c r="I343" s="37">
        <v>2601.502</v>
      </c>
      <c r="J343" s="37">
        <v>3278.7379999999998</v>
      </c>
      <c r="K343" s="37">
        <v>684.91099999999994</v>
      </c>
      <c r="L343" s="37">
        <v>41.759</v>
      </c>
      <c r="M343" s="37">
        <v>-22.794</v>
      </c>
      <c r="N343" s="39">
        <f>+M343-O343</f>
        <v>-5.7110000000000021</v>
      </c>
      <c r="O343" s="37">
        <v>-17.082999999999998</v>
      </c>
      <c r="P343" s="40">
        <v>0</v>
      </c>
      <c r="Q343" s="40">
        <v>0</v>
      </c>
      <c r="R343" s="41">
        <f>SUM(P343:Q343)</f>
        <v>0</v>
      </c>
      <c r="S343" s="42">
        <v>1196</v>
      </c>
    </row>
    <row r="344" spans="2:19" ht="15.75" x14ac:dyDescent="0.25">
      <c r="B344" s="76"/>
      <c r="C344" s="76"/>
      <c r="D344" s="77"/>
      <c r="E344" s="64"/>
      <c r="F344" s="78"/>
      <c r="G344" s="43"/>
      <c r="H344" s="79"/>
      <c r="I344" s="78"/>
      <c r="J344" s="78"/>
      <c r="K344" s="78"/>
      <c r="L344" s="78"/>
      <c r="M344" s="78"/>
      <c r="N344" s="79"/>
      <c r="O344" s="78"/>
      <c r="P344" s="80"/>
      <c r="Q344" s="80"/>
      <c r="R344" s="81"/>
      <c r="S344" s="82"/>
    </row>
    <row r="345" spans="2:19" ht="18.75" x14ac:dyDescent="0.3">
      <c r="B345" s="29"/>
      <c r="C345" s="29"/>
      <c r="D345" s="56" t="s">
        <v>43</v>
      </c>
      <c r="E345" s="29"/>
      <c r="F345" s="29"/>
      <c r="G345" s="43"/>
      <c r="H345" s="44"/>
      <c r="I345" s="31"/>
      <c r="J345" s="31"/>
      <c r="K345" s="31"/>
      <c r="L345" s="31"/>
      <c r="M345" s="31"/>
      <c r="N345" s="45"/>
      <c r="O345" s="31"/>
      <c r="P345" s="31"/>
      <c r="Q345" s="31"/>
      <c r="R345" s="45"/>
      <c r="S345" s="31"/>
    </row>
    <row r="346" spans="2:19" ht="15.75" x14ac:dyDescent="0.25">
      <c r="B346" s="60">
        <v>1</v>
      </c>
      <c r="C346" s="60" t="s">
        <v>561</v>
      </c>
      <c r="D346" s="35" t="s">
        <v>562</v>
      </c>
      <c r="E346" s="36">
        <v>43646</v>
      </c>
      <c r="F346" s="37">
        <v>513.88669000000004</v>
      </c>
      <c r="G346" s="38">
        <v>10</v>
      </c>
      <c r="H346" s="39">
        <f>+F346/G346</f>
        <v>51.388669000000007</v>
      </c>
      <c r="I346" s="37">
        <v>1476.0417299999999</v>
      </c>
      <c r="J346" s="37">
        <v>2504.4905130000002</v>
      </c>
      <c r="K346" s="37">
        <v>2568.8700490000001</v>
      </c>
      <c r="L346" s="37">
        <v>64.819299000000001</v>
      </c>
      <c r="M346" s="37">
        <v>148.70060100000001</v>
      </c>
      <c r="N346" s="39">
        <f>+M346-O346</f>
        <v>36.324293000000011</v>
      </c>
      <c r="O346" s="37">
        <v>112.37630799999999</v>
      </c>
      <c r="P346" s="40">
        <v>0</v>
      </c>
      <c r="Q346" s="40">
        <v>0</v>
      </c>
      <c r="R346" s="41">
        <f>SUM(P346:Q346)</f>
        <v>0</v>
      </c>
      <c r="S346" s="42"/>
    </row>
    <row r="347" spans="2:19" ht="15.75" x14ac:dyDescent="0.25">
      <c r="B347" s="76"/>
      <c r="C347" s="76"/>
      <c r="D347" s="77"/>
      <c r="E347" s="64"/>
      <c r="F347" s="78"/>
      <c r="G347" s="43"/>
      <c r="H347" s="79"/>
      <c r="I347" s="78"/>
      <c r="J347" s="78"/>
      <c r="K347" s="78"/>
      <c r="L347" s="78"/>
      <c r="M347" s="78"/>
      <c r="N347" s="79"/>
      <c r="O347" s="78"/>
      <c r="P347" s="80"/>
      <c r="Q347" s="80"/>
      <c r="R347" s="81"/>
      <c r="S347" s="82"/>
    </row>
    <row r="348" spans="2:19" ht="15.75" x14ac:dyDescent="0.25">
      <c r="B348" s="34">
        <f>COUNT(B343:B347)</f>
        <v>2</v>
      </c>
      <c r="C348" s="34"/>
      <c r="D348" s="48"/>
      <c r="E348" s="48"/>
      <c r="F348" s="48">
        <f>SUM(F343:F347)</f>
        <v>608.94969000000003</v>
      </c>
      <c r="G348" s="49"/>
      <c r="H348" s="50">
        <f t="shared" ref="H348:O348" si="71">SUM(H343:H347)</f>
        <v>60.894969000000003</v>
      </c>
      <c r="I348" s="48">
        <f t="shared" si="71"/>
        <v>4077.5437299999999</v>
      </c>
      <c r="J348" s="48">
        <f t="shared" si="71"/>
        <v>5783.228513</v>
      </c>
      <c r="K348" s="48">
        <f t="shared" si="71"/>
        <v>3253.7810490000002</v>
      </c>
      <c r="L348" s="48">
        <f t="shared" si="71"/>
        <v>106.578299</v>
      </c>
      <c r="M348" s="48">
        <f t="shared" si="71"/>
        <v>125.90660100000001</v>
      </c>
      <c r="N348" s="51">
        <f t="shared" si="71"/>
        <v>30.613293000000009</v>
      </c>
      <c r="O348" s="48">
        <f t="shared" si="71"/>
        <v>95.293307999999996</v>
      </c>
      <c r="P348" s="52"/>
      <c r="Q348" s="52"/>
      <c r="R348" s="53"/>
      <c r="S348" s="54">
        <f>SUM(S343:S347)</f>
        <v>1196</v>
      </c>
    </row>
    <row r="349" spans="2:19" ht="15.75" x14ac:dyDescent="0.25">
      <c r="B349" s="76"/>
      <c r="C349" s="76"/>
      <c r="D349" s="77"/>
      <c r="E349" s="64"/>
      <c r="F349" s="78"/>
      <c r="G349" s="43"/>
      <c r="H349" s="79"/>
      <c r="I349" s="78"/>
      <c r="J349" s="78"/>
      <c r="K349" s="78"/>
      <c r="L349" s="78"/>
      <c r="M349" s="78"/>
      <c r="N349" s="79"/>
      <c r="O349" s="78"/>
      <c r="P349" s="80"/>
      <c r="Q349" s="80"/>
      <c r="R349" s="81"/>
      <c r="S349" s="82"/>
    </row>
    <row r="350" spans="2:19" ht="15.75" x14ac:dyDescent="0.25">
      <c r="B350" s="76"/>
      <c r="C350" s="76"/>
      <c r="D350" s="77"/>
      <c r="E350" s="64"/>
      <c r="F350" s="78"/>
      <c r="G350" s="43"/>
      <c r="H350" s="79"/>
      <c r="I350" s="78"/>
      <c r="J350" s="78"/>
      <c r="K350" s="78"/>
      <c r="L350" s="78"/>
      <c r="M350" s="78"/>
      <c r="N350" s="79"/>
      <c r="O350" s="78"/>
      <c r="P350" s="80"/>
      <c r="Q350" s="80"/>
      <c r="R350" s="81"/>
      <c r="S350" s="82"/>
    </row>
    <row r="351" spans="2:19" ht="18.75" x14ac:dyDescent="0.3">
      <c r="B351" s="29"/>
      <c r="C351" s="33">
        <v>12</v>
      </c>
      <c r="D351" s="33" t="s">
        <v>563</v>
      </c>
      <c r="E351" s="61"/>
      <c r="F351" s="61"/>
      <c r="G351" s="43"/>
      <c r="H351" s="44"/>
      <c r="I351" s="31"/>
      <c r="J351" s="31"/>
      <c r="K351" s="31"/>
      <c r="L351" s="31"/>
      <c r="M351" s="31"/>
      <c r="N351" s="45"/>
      <c r="O351" s="31"/>
      <c r="P351" s="31"/>
      <c r="Q351" s="31"/>
      <c r="R351" s="45"/>
      <c r="S351" s="31"/>
    </row>
    <row r="352" spans="2:19" ht="15.75" x14ac:dyDescent="0.25">
      <c r="B352" s="76"/>
      <c r="C352" s="76"/>
      <c r="D352" s="77"/>
      <c r="E352" s="64"/>
      <c r="F352" s="78"/>
      <c r="G352" s="43"/>
      <c r="H352" s="79"/>
      <c r="I352" s="78"/>
      <c r="J352" s="78"/>
      <c r="K352" s="78"/>
      <c r="L352" s="78"/>
      <c r="M352" s="78"/>
      <c r="N352" s="79"/>
      <c r="O352" s="78"/>
      <c r="P352" s="80"/>
      <c r="Q352" s="80"/>
      <c r="R352" s="81"/>
      <c r="S352" s="82"/>
    </row>
    <row r="353" spans="2:19" ht="15.75" x14ac:dyDescent="0.25">
      <c r="B353" s="60">
        <v>1</v>
      </c>
      <c r="C353" s="60" t="s">
        <v>564</v>
      </c>
      <c r="D353" s="35" t="s">
        <v>565</v>
      </c>
      <c r="E353" s="36">
        <v>43646</v>
      </c>
      <c r="F353" s="37">
        <v>383.64499999999998</v>
      </c>
      <c r="G353" s="38">
        <v>10</v>
      </c>
      <c r="H353" s="39">
        <f t="shared" ref="H353:H358" si="72">+F353/G353</f>
        <v>38.3645</v>
      </c>
      <c r="I353" s="37">
        <v>5303.9979999999996</v>
      </c>
      <c r="J353" s="37">
        <v>8750.0429999999997</v>
      </c>
      <c r="K353" s="37">
        <v>17707.325000000001</v>
      </c>
      <c r="L353" s="37">
        <v>17.39</v>
      </c>
      <c r="M353" s="37">
        <v>2103.9229999999998</v>
      </c>
      <c r="N353" s="39">
        <f t="shared" ref="N353:N358" si="73">+M353-O353</f>
        <v>309.18799999999987</v>
      </c>
      <c r="O353" s="37">
        <v>1794.7349999999999</v>
      </c>
      <c r="P353" s="40">
        <f>95+20+150</f>
        <v>265</v>
      </c>
      <c r="Q353" s="40">
        <v>0</v>
      </c>
      <c r="R353" s="41">
        <f t="shared" ref="R353:R358" si="74">SUM(P353:Q353)</f>
        <v>265</v>
      </c>
      <c r="S353" s="42">
        <v>1285</v>
      </c>
    </row>
    <row r="354" spans="2:19" ht="15.75" x14ac:dyDescent="0.25">
      <c r="B354" s="60">
        <f t="shared" ref="B354:B358" si="75">+B353+1</f>
        <v>2</v>
      </c>
      <c r="C354" s="60" t="s">
        <v>566</v>
      </c>
      <c r="D354" s="35" t="s">
        <v>567</v>
      </c>
      <c r="E354" s="36">
        <v>43646</v>
      </c>
      <c r="F354" s="37">
        <v>3105.0699599999998</v>
      </c>
      <c r="G354" s="38">
        <v>10</v>
      </c>
      <c r="H354" s="39">
        <f t="shared" si="72"/>
        <v>310.50699599999996</v>
      </c>
      <c r="I354" s="37">
        <v>39473.846228000002</v>
      </c>
      <c r="J354" s="37">
        <v>53569.873615999997</v>
      </c>
      <c r="K354" s="37">
        <v>66237.950335999994</v>
      </c>
      <c r="L354" s="37">
        <v>612.09725800000001</v>
      </c>
      <c r="M354" s="37">
        <v>2044.4696839999999</v>
      </c>
      <c r="N354" s="39">
        <f t="shared" si="73"/>
        <v>1045.977175</v>
      </c>
      <c r="O354" s="37">
        <v>998.49250900000004</v>
      </c>
      <c r="P354" s="40">
        <v>10</v>
      </c>
      <c r="Q354" s="40">
        <v>0</v>
      </c>
      <c r="R354" s="41">
        <f t="shared" si="74"/>
        <v>10</v>
      </c>
      <c r="S354" s="42">
        <v>2159</v>
      </c>
    </row>
    <row r="355" spans="2:19" ht="15.75" x14ac:dyDescent="0.25">
      <c r="B355" s="60">
        <f t="shared" si="75"/>
        <v>3</v>
      </c>
      <c r="C355" s="60" t="s">
        <v>568</v>
      </c>
      <c r="D355" s="35" t="s">
        <v>569</v>
      </c>
      <c r="E355" s="36">
        <v>43646</v>
      </c>
      <c r="F355" s="37">
        <v>155.53174000000001</v>
      </c>
      <c r="G355" s="38">
        <v>10</v>
      </c>
      <c r="H355" s="39">
        <f t="shared" si="72"/>
        <v>15.553174000000002</v>
      </c>
      <c r="I355" s="37">
        <v>773.05879300000004</v>
      </c>
      <c r="J355" s="37">
        <v>1124.895456</v>
      </c>
      <c r="K355" s="37">
        <v>930.93697899999995</v>
      </c>
      <c r="L355" s="37">
        <v>3.470548</v>
      </c>
      <c r="M355" s="37">
        <v>30.645589000000001</v>
      </c>
      <c r="N355" s="39">
        <f t="shared" si="73"/>
        <v>13.231578000000003</v>
      </c>
      <c r="O355" s="37">
        <v>17.414010999999999</v>
      </c>
      <c r="P355" s="40">
        <v>0</v>
      </c>
      <c r="Q355" s="40">
        <v>0</v>
      </c>
      <c r="R355" s="41">
        <f t="shared" si="74"/>
        <v>0</v>
      </c>
      <c r="S355" s="42">
        <v>600</v>
      </c>
    </row>
    <row r="356" spans="2:19" ht="15.75" x14ac:dyDescent="0.25">
      <c r="B356" s="60">
        <f t="shared" si="75"/>
        <v>4</v>
      </c>
      <c r="C356" s="60" t="s">
        <v>570</v>
      </c>
      <c r="D356" s="35" t="s">
        <v>571</v>
      </c>
      <c r="E356" s="36">
        <v>43646</v>
      </c>
      <c r="F356" s="37">
        <v>560.4</v>
      </c>
      <c r="G356" s="38">
        <v>10</v>
      </c>
      <c r="H356" s="39">
        <f t="shared" si="72"/>
        <v>56.04</v>
      </c>
      <c r="I356" s="37">
        <v>1196.0139999999999</v>
      </c>
      <c r="J356" s="37">
        <v>5933.8180000000002</v>
      </c>
      <c r="K356" s="37">
        <v>7024.9350000000004</v>
      </c>
      <c r="L356" s="37">
        <v>328.77800000000002</v>
      </c>
      <c r="M356" s="37">
        <v>-150.084</v>
      </c>
      <c r="N356" s="39">
        <f t="shared" si="73"/>
        <v>-26.183000000000007</v>
      </c>
      <c r="O356" s="37">
        <v>-123.901</v>
      </c>
      <c r="P356" s="40">
        <v>0</v>
      </c>
      <c r="Q356" s="40">
        <v>0</v>
      </c>
      <c r="R356" s="41">
        <f t="shared" si="74"/>
        <v>0</v>
      </c>
      <c r="S356" s="42">
        <v>1362</v>
      </c>
    </row>
    <row r="357" spans="2:19" ht="15.75" x14ac:dyDescent="0.25">
      <c r="B357" s="60">
        <f t="shared" si="75"/>
        <v>5</v>
      </c>
      <c r="C357" s="60" t="s">
        <v>572</v>
      </c>
      <c r="D357" s="35" t="s">
        <v>573</v>
      </c>
      <c r="E357" s="36">
        <v>43646</v>
      </c>
      <c r="F357" s="37">
        <v>340.685</v>
      </c>
      <c r="G357" s="38">
        <v>10</v>
      </c>
      <c r="H357" s="39">
        <f t="shared" si="72"/>
        <v>34.0685</v>
      </c>
      <c r="I357" s="37">
        <v>2419.2979999999998</v>
      </c>
      <c r="J357" s="37">
        <v>6014.5950000000003</v>
      </c>
      <c r="K357" s="37">
        <v>9053.741</v>
      </c>
      <c r="L357" s="37">
        <v>168.36199999999999</v>
      </c>
      <c r="M357" s="37">
        <v>174.30199999999999</v>
      </c>
      <c r="N357" s="39">
        <f t="shared" si="73"/>
        <v>119.327</v>
      </c>
      <c r="O357" s="37">
        <v>54.975000000000001</v>
      </c>
      <c r="P357" s="40">
        <v>10</v>
      </c>
      <c r="Q357" s="40">
        <v>0</v>
      </c>
      <c r="R357" s="41">
        <f t="shared" si="74"/>
        <v>10</v>
      </c>
      <c r="S357" s="42">
        <v>515</v>
      </c>
    </row>
    <row r="358" spans="2:19" ht="15.75" x14ac:dyDescent="0.25">
      <c r="B358" s="60">
        <f t="shared" si="75"/>
        <v>6</v>
      </c>
      <c r="C358" s="60" t="s">
        <v>574</v>
      </c>
      <c r="D358" s="35" t="s">
        <v>575</v>
      </c>
      <c r="E358" s="36">
        <v>43646</v>
      </c>
      <c r="F358" s="37">
        <v>568.79201</v>
      </c>
      <c r="G358" s="38">
        <v>10</v>
      </c>
      <c r="H358" s="39">
        <f t="shared" si="72"/>
        <v>56.879201000000002</v>
      </c>
      <c r="I358" s="37">
        <v>1029.6764659999999</v>
      </c>
      <c r="J358" s="37">
        <v>1415.2889050000001</v>
      </c>
      <c r="K358" s="37">
        <v>386.81227699999999</v>
      </c>
      <c r="L358" s="37">
        <v>24.110796000000001</v>
      </c>
      <c r="M358" s="37">
        <v>58.980708</v>
      </c>
      <c r="N358" s="39">
        <f t="shared" si="73"/>
        <v>6.3088539999999966</v>
      </c>
      <c r="O358" s="37">
        <v>52.671854000000003</v>
      </c>
      <c r="P358" s="40">
        <v>0</v>
      </c>
      <c r="Q358" s="40">
        <v>0</v>
      </c>
      <c r="R358" s="41">
        <f t="shared" si="74"/>
        <v>0</v>
      </c>
      <c r="S358" s="42">
        <v>4806</v>
      </c>
    </row>
    <row r="359" spans="2:19" ht="15.75" x14ac:dyDescent="0.25">
      <c r="B359" s="76"/>
      <c r="C359" s="76"/>
      <c r="D359" s="77"/>
      <c r="E359" s="64"/>
      <c r="F359" s="78"/>
      <c r="G359" s="43"/>
      <c r="H359" s="79"/>
      <c r="I359" s="78"/>
      <c r="J359" s="78"/>
      <c r="K359" s="78"/>
      <c r="L359" s="78"/>
      <c r="M359" s="78"/>
      <c r="N359" s="79"/>
      <c r="O359" s="78"/>
      <c r="P359" s="80"/>
      <c r="Q359" s="80"/>
      <c r="R359" s="81"/>
      <c r="S359" s="82"/>
    </row>
    <row r="360" spans="2:19" ht="18.75" x14ac:dyDescent="0.3">
      <c r="B360" s="29"/>
      <c r="C360" s="29"/>
      <c r="D360" s="56" t="s">
        <v>43</v>
      </c>
      <c r="E360" s="29"/>
      <c r="F360" s="29"/>
      <c r="G360" s="43"/>
      <c r="H360" s="44"/>
      <c r="I360" s="31"/>
      <c r="J360" s="31"/>
      <c r="K360" s="31"/>
      <c r="L360" s="31"/>
      <c r="M360" s="31"/>
      <c r="N360" s="45"/>
      <c r="O360" s="31"/>
      <c r="P360" s="31"/>
      <c r="Q360" s="31"/>
      <c r="R360" s="45"/>
      <c r="S360" s="31"/>
    </row>
    <row r="361" spans="2:19" ht="15.75" x14ac:dyDescent="0.25">
      <c r="B361" s="60">
        <v>1</v>
      </c>
      <c r="C361" s="34" t="s">
        <v>576</v>
      </c>
      <c r="D361" s="35" t="s">
        <v>577</v>
      </c>
      <c r="E361" s="36">
        <v>43646</v>
      </c>
      <c r="F361" s="37">
        <v>134.09549999999999</v>
      </c>
      <c r="G361" s="38">
        <v>10</v>
      </c>
      <c r="H361" s="39">
        <f>+F361/G361</f>
        <v>13.409549999999999</v>
      </c>
      <c r="I361" s="37">
        <v>-4820.1952039999996</v>
      </c>
      <c r="J361" s="37">
        <v>2246.5876490000001</v>
      </c>
      <c r="K361" s="37">
        <v>0</v>
      </c>
      <c r="L361" s="37">
        <v>1.2009000000000001E-2</v>
      </c>
      <c r="M361" s="37">
        <v>-125.59595400000001</v>
      </c>
      <c r="N361" s="39">
        <f>+M361-O361</f>
        <v>0.3603339999999946</v>
      </c>
      <c r="O361" s="37">
        <v>-125.956288</v>
      </c>
      <c r="P361" s="40">
        <v>0</v>
      </c>
      <c r="Q361" s="40">
        <v>0</v>
      </c>
      <c r="R361" s="41">
        <f>SUM(P361:Q361)</f>
        <v>0</v>
      </c>
      <c r="S361" s="42">
        <v>724</v>
      </c>
    </row>
    <row r="362" spans="2:19" ht="15.75" x14ac:dyDescent="0.25">
      <c r="B362" s="60">
        <f>+B361+1</f>
        <v>2</v>
      </c>
      <c r="C362" s="60" t="s">
        <v>578</v>
      </c>
      <c r="D362" s="35" t="s">
        <v>579</v>
      </c>
      <c r="E362" s="36">
        <v>43646</v>
      </c>
      <c r="F362" s="37">
        <v>3663.2109999999998</v>
      </c>
      <c r="G362" s="38">
        <v>10</v>
      </c>
      <c r="H362" s="39">
        <f>+F362/G362</f>
        <v>366.3211</v>
      </c>
      <c r="I362" s="37">
        <v>-11831.606</v>
      </c>
      <c r="J362" s="37">
        <v>9125.0840000000007</v>
      </c>
      <c r="K362" s="37">
        <v>0</v>
      </c>
      <c r="L362" s="37">
        <v>920.65200000000004</v>
      </c>
      <c r="M362" s="37">
        <v>-1831.2239999999999</v>
      </c>
      <c r="N362" s="39">
        <f>+M362-O362</f>
        <v>-121.42899999999986</v>
      </c>
      <c r="O362" s="37">
        <v>-1709.7950000000001</v>
      </c>
      <c r="P362" s="40">
        <v>0</v>
      </c>
      <c r="Q362" s="40">
        <v>0</v>
      </c>
      <c r="R362" s="41">
        <f>SUM(P362:Q362)</f>
        <v>0</v>
      </c>
      <c r="S362" s="42">
        <v>21057</v>
      </c>
    </row>
    <row r="363" spans="2:19" ht="15.75" x14ac:dyDescent="0.25">
      <c r="B363" s="60">
        <f t="shared" ref="B363:B364" si="76">+B362+1</f>
        <v>3</v>
      </c>
      <c r="C363" s="60" t="s">
        <v>580</v>
      </c>
      <c r="D363" s="35" t="s">
        <v>581</v>
      </c>
      <c r="E363" s="36">
        <v>43646</v>
      </c>
      <c r="F363" s="37"/>
      <c r="G363" s="38">
        <v>10</v>
      </c>
      <c r="H363" s="39">
        <f>+F363/G363</f>
        <v>0</v>
      </c>
      <c r="I363" s="37"/>
      <c r="J363" s="37"/>
      <c r="K363" s="37"/>
      <c r="L363" s="37"/>
      <c r="M363" s="37"/>
      <c r="N363" s="39">
        <f>+M363-O363</f>
        <v>0</v>
      </c>
      <c r="O363" s="37"/>
      <c r="P363" s="40"/>
      <c r="Q363" s="40"/>
      <c r="R363" s="41">
        <f>SUM(P363:Q363)</f>
        <v>0</v>
      </c>
      <c r="S363" s="42"/>
    </row>
    <row r="364" spans="2:19" ht="15.75" x14ac:dyDescent="0.25">
      <c r="B364" s="60">
        <f t="shared" si="76"/>
        <v>4</v>
      </c>
      <c r="C364" s="60" t="s">
        <v>582</v>
      </c>
      <c r="D364" s="35" t="s">
        <v>583</v>
      </c>
      <c r="E364" s="36">
        <v>43646</v>
      </c>
      <c r="F364" s="37">
        <v>150</v>
      </c>
      <c r="G364" s="38">
        <v>10</v>
      </c>
      <c r="H364" s="39">
        <f>+F364/G364</f>
        <v>15</v>
      </c>
      <c r="I364" s="37">
        <v>132.70932199999999</v>
      </c>
      <c r="J364" s="37">
        <v>553.29467199999999</v>
      </c>
      <c r="K364" s="37">
        <v>4.6236990000000002</v>
      </c>
      <c r="L364" s="37">
        <v>9.9708799999999993</v>
      </c>
      <c r="M364" s="37">
        <v>-17.806024000000001</v>
      </c>
      <c r="N364" s="39">
        <f>+M364-O364</f>
        <v>-1.4993420000000022</v>
      </c>
      <c r="O364" s="37">
        <v>-16.306681999999999</v>
      </c>
      <c r="P364" s="40">
        <v>0</v>
      </c>
      <c r="Q364" s="40">
        <v>0</v>
      </c>
      <c r="R364" s="41">
        <f>SUM(P364:Q364)</f>
        <v>0</v>
      </c>
      <c r="S364" s="42"/>
    </row>
    <row r="365" spans="2:19" ht="15.75" x14ac:dyDescent="0.25">
      <c r="B365" s="76"/>
      <c r="C365" s="76"/>
      <c r="D365" s="77"/>
      <c r="E365" s="64"/>
      <c r="F365" s="78"/>
      <c r="G365" s="43"/>
      <c r="H365" s="79"/>
      <c r="I365" s="78"/>
      <c r="J365" s="78"/>
      <c r="K365" s="78"/>
      <c r="L365" s="78"/>
      <c r="M365" s="78"/>
      <c r="N365" s="79"/>
      <c r="O365" s="78"/>
      <c r="P365" s="80"/>
      <c r="Q365" s="80"/>
      <c r="R365" s="81"/>
      <c r="S365" s="82"/>
    </row>
    <row r="366" spans="2:19" ht="15.75" x14ac:dyDescent="0.25">
      <c r="B366" s="34">
        <f>COUNT(B353:B365)</f>
        <v>10</v>
      </c>
      <c r="C366" s="34"/>
      <c r="D366" s="48"/>
      <c r="E366" s="48"/>
      <c r="F366" s="48">
        <f>SUM(F353:F365)</f>
        <v>9061.4302100000004</v>
      </c>
      <c r="G366" s="49"/>
      <c r="H366" s="50">
        <f t="shared" ref="H366:O366" si="77">SUM(H353:H365)</f>
        <v>906.14302100000009</v>
      </c>
      <c r="I366" s="48">
        <f t="shared" si="77"/>
        <v>33676.799605</v>
      </c>
      <c r="J366" s="48">
        <f t="shared" si="77"/>
        <v>88733.480297999995</v>
      </c>
      <c r="K366" s="48">
        <f t="shared" si="77"/>
        <v>101346.324291</v>
      </c>
      <c r="L366" s="48">
        <f t="shared" si="77"/>
        <v>2084.8434909999996</v>
      </c>
      <c r="M366" s="48">
        <f t="shared" si="77"/>
        <v>2287.6110029999986</v>
      </c>
      <c r="N366" s="51">
        <f t="shared" si="77"/>
        <v>1345.2815989999997</v>
      </c>
      <c r="O366" s="48">
        <f t="shared" si="77"/>
        <v>942.32940399999995</v>
      </c>
      <c r="P366" s="52"/>
      <c r="Q366" s="52"/>
      <c r="R366" s="53"/>
      <c r="S366" s="54">
        <f>SUM(S353:S365)</f>
        <v>32508</v>
      </c>
    </row>
    <row r="367" spans="2:19" ht="15.75" x14ac:dyDescent="0.25">
      <c r="B367" s="76"/>
      <c r="C367" s="76"/>
      <c r="D367" s="77"/>
      <c r="E367" s="64"/>
      <c r="F367" s="78"/>
      <c r="G367" s="43"/>
      <c r="H367" s="79"/>
      <c r="I367" s="78"/>
      <c r="J367" s="78"/>
      <c r="K367" s="78"/>
      <c r="L367" s="78"/>
      <c r="M367" s="78"/>
      <c r="N367" s="79"/>
      <c r="O367" s="78"/>
      <c r="P367" s="80"/>
      <c r="Q367" s="80"/>
      <c r="R367" s="81"/>
      <c r="S367" s="82"/>
    </row>
    <row r="368" spans="2:19" ht="15.75" x14ac:dyDescent="0.25">
      <c r="B368" s="76"/>
      <c r="C368" s="76"/>
      <c r="D368" s="77"/>
      <c r="E368" s="64"/>
      <c r="F368" s="78"/>
      <c r="G368" s="43"/>
      <c r="H368" s="79"/>
      <c r="I368" s="78"/>
      <c r="J368" s="78"/>
      <c r="K368" s="78"/>
      <c r="L368" s="78"/>
      <c r="M368" s="78"/>
      <c r="N368" s="79"/>
      <c r="O368" s="78"/>
      <c r="P368" s="80"/>
      <c r="Q368" s="80"/>
      <c r="R368" s="81"/>
      <c r="S368" s="82"/>
    </row>
    <row r="369" spans="2:19" ht="18.75" x14ac:dyDescent="0.3">
      <c r="B369" s="29"/>
      <c r="C369" s="33">
        <v>13</v>
      </c>
      <c r="D369" s="33" t="s">
        <v>584</v>
      </c>
      <c r="E369" s="61"/>
      <c r="F369" s="61"/>
      <c r="G369" s="43"/>
      <c r="H369" s="44"/>
      <c r="I369" s="31"/>
      <c r="J369" s="31"/>
      <c r="K369" s="31"/>
      <c r="L369" s="31"/>
      <c r="M369" s="31"/>
      <c r="N369" s="45"/>
      <c r="O369" s="31"/>
      <c r="P369" s="31"/>
      <c r="Q369" s="31"/>
      <c r="R369" s="45"/>
      <c r="S369" s="31"/>
    </row>
    <row r="370" spans="2:19" ht="15.75" x14ac:dyDescent="0.25">
      <c r="B370" s="76"/>
      <c r="C370" s="76"/>
      <c r="D370" s="77"/>
      <c r="E370" s="64"/>
      <c r="F370" s="78"/>
      <c r="G370" s="43"/>
      <c r="H370" s="79"/>
      <c r="I370" s="78"/>
      <c r="J370" s="78"/>
      <c r="K370" s="78"/>
      <c r="L370" s="78"/>
      <c r="M370" s="78"/>
      <c r="N370" s="79"/>
      <c r="O370" s="78"/>
      <c r="P370" s="80"/>
      <c r="Q370" s="80"/>
      <c r="R370" s="81"/>
      <c r="S370" s="82"/>
    </row>
    <row r="371" spans="2:19" ht="18.75" x14ac:dyDescent="0.3">
      <c r="B371" s="76"/>
      <c r="C371" s="76"/>
      <c r="D371" s="56" t="s">
        <v>43</v>
      </c>
      <c r="E371" s="64"/>
      <c r="F371" s="78"/>
      <c r="G371" s="43"/>
      <c r="H371" s="79"/>
      <c r="I371" s="78"/>
      <c r="J371" s="78"/>
      <c r="K371" s="78"/>
      <c r="L371" s="78"/>
      <c r="M371" s="78"/>
      <c r="N371" s="79"/>
      <c r="O371" s="78"/>
      <c r="P371" s="80"/>
      <c r="Q371" s="80"/>
      <c r="R371" s="81"/>
      <c r="S371" s="82"/>
    </row>
    <row r="372" spans="2:19" ht="15.75" x14ac:dyDescent="0.25">
      <c r="B372" s="60">
        <v>1</v>
      </c>
      <c r="C372" s="60" t="s">
        <v>585</v>
      </c>
      <c r="D372" s="35" t="s">
        <v>586</v>
      </c>
      <c r="E372" s="36">
        <v>43646</v>
      </c>
      <c r="F372" s="37">
        <v>237.63468</v>
      </c>
      <c r="G372" s="38">
        <v>10</v>
      </c>
      <c r="H372" s="39">
        <f>+F372/G372</f>
        <v>23.763468</v>
      </c>
      <c r="I372" s="37">
        <v>-266.56530600000002</v>
      </c>
      <c r="J372" s="37">
        <v>193.23979299999999</v>
      </c>
      <c r="K372" s="37">
        <v>38.143804000000003</v>
      </c>
      <c r="L372" s="37">
        <v>2.5411239999999999</v>
      </c>
      <c r="M372" s="37">
        <v>-13.109363</v>
      </c>
      <c r="N372" s="39">
        <f>+M372-O372</f>
        <v>6.8899999999949557E-4</v>
      </c>
      <c r="O372" s="37">
        <v>-13.110052</v>
      </c>
      <c r="P372" s="40">
        <v>0</v>
      </c>
      <c r="Q372" s="40">
        <v>0</v>
      </c>
      <c r="R372" s="41">
        <f>SUM(P372:Q372)</f>
        <v>0</v>
      </c>
      <c r="S372" s="42">
        <v>2163</v>
      </c>
    </row>
    <row r="373" spans="2:19" ht="15.75" x14ac:dyDescent="0.25">
      <c r="B373" s="60">
        <f>+B372+1</f>
        <v>2</v>
      </c>
      <c r="C373" s="60" t="s">
        <v>587</v>
      </c>
      <c r="D373" s="35" t="s">
        <v>588</v>
      </c>
      <c r="E373" s="36">
        <v>43646</v>
      </c>
      <c r="F373" s="37">
        <v>43.328189999999999</v>
      </c>
      <c r="G373" s="38">
        <v>10</v>
      </c>
      <c r="H373" s="39">
        <f>+F373/G373</f>
        <v>4.3328189999999998</v>
      </c>
      <c r="I373" s="37">
        <v>773.91844200000003</v>
      </c>
      <c r="J373" s="37">
        <v>1380.4204440000001</v>
      </c>
      <c r="K373" s="37">
        <v>0</v>
      </c>
      <c r="L373" s="37">
        <v>6.8377039999999996</v>
      </c>
      <c r="M373" s="37">
        <v>-40.843693999999999</v>
      </c>
      <c r="N373" s="39">
        <f>+M373-O373</f>
        <v>0</v>
      </c>
      <c r="O373" s="37">
        <v>-40.843693999999999</v>
      </c>
      <c r="P373" s="40">
        <v>0</v>
      </c>
      <c r="Q373" s="40">
        <v>0</v>
      </c>
      <c r="R373" s="41">
        <f>SUM(P373:Q373)</f>
        <v>0</v>
      </c>
      <c r="S373" s="42">
        <v>1382</v>
      </c>
    </row>
    <row r="374" spans="2:19" ht="15.75" x14ac:dyDescent="0.25">
      <c r="B374" s="60">
        <f>COUNT(B372:B373)</f>
        <v>2</v>
      </c>
      <c r="C374" s="34"/>
      <c r="D374" s="48"/>
      <c r="E374" s="48"/>
      <c r="F374" s="48">
        <f>SUM(F372:F373)</f>
        <v>280.96287000000001</v>
      </c>
      <c r="G374" s="49"/>
      <c r="H374" s="50">
        <f t="shared" ref="H374:O374" si="78">SUM(H372:H373)</f>
        <v>28.096287</v>
      </c>
      <c r="I374" s="48">
        <f t="shared" si="78"/>
        <v>507.35313600000001</v>
      </c>
      <c r="J374" s="48">
        <f t="shared" si="78"/>
        <v>1573.6602370000001</v>
      </c>
      <c r="K374" s="48">
        <f t="shared" si="78"/>
        <v>38.143804000000003</v>
      </c>
      <c r="L374" s="48">
        <f t="shared" si="78"/>
        <v>9.3788279999999986</v>
      </c>
      <c r="M374" s="48">
        <f t="shared" si="78"/>
        <v>-53.953057000000001</v>
      </c>
      <c r="N374" s="51">
        <f t="shared" si="78"/>
        <v>6.8899999999949557E-4</v>
      </c>
      <c r="O374" s="48">
        <f t="shared" si="78"/>
        <v>-53.953745999999995</v>
      </c>
      <c r="P374" s="52"/>
      <c r="Q374" s="52"/>
      <c r="R374" s="53"/>
      <c r="S374" s="54">
        <f>SUM(S372:S373)</f>
        <v>3545</v>
      </c>
    </row>
    <row r="375" spans="2:19" ht="15.75" x14ac:dyDescent="0.25">
      <c r="B375" s="76"/>
      <c r="C375" s="76"/>
      <c r="D375" s="77"/>
      <c r="E375" s="64"/>
      <c r="F375" s="78"/>
      <c r="G375" s="43"/>
      <c r="H375" s="79"/>
      <c r="I375" s="78"/>
      <c r="J375" s="78"/>
      <c r="K375" s="78"/>
      <c r="L375" s="78"/>
      <c r="M375" s="78"/>
      <c r="N375" s="79"/>
      <c r="O375" s="78"/>
      <c r="P375" s="80"/>
      <c r="Q375" s="80"/>
      <c r="R375" s="81"/>
      <c r="S375" s="82"/>
    </row>
    <row r="376" spans="2:19" ht="15.75" x14ac:dyDescent="0.25">
      <c r="B376" s="76"/>
      <c r="C376" s="76"/>
      <c r="D376" s="77"/>
      <c r="E376" s="64"/>
      <c r="F376" s="78"/>
      <c r="G376" s="43"/>
      <c r="H376" s="79"/>
      <c r="I376" s="78"/>
      <c r="J376" s="78"/>
      <c r="K376" s="78"/>
      <c r="L376" s="78"/>
      <c r="M376" s="78"/>
      <c r="N376" s="79"/>
      <c r="O376" s="78"/>
      <c r="P376" s="80"/>
      <c r="Q376" s="80"/>
      <c r="R376" s="81"/>
      <c r="S376" s="82"/>
    </row>
    <row r="377" spans="2:19" ht="18.75" x14ac:dyDescent="0.3">
      <c r="B377" s="29"/>
      <c r="C377" s="33">
        <v>14</v>
      </c>
      <c r="D377" s="33" t="s">
        <v>589</v>
      </c>
      <c r="E377" s="61"/>
      <c r="F377" s="61"/>
      <c r="G377" s="43"/>
      <c r="H377" s="44"/>
      <c r="I377" s="31"/>
      <c r="J377" s="31"/>
      <c r="K377" s="31"/>
      <c r="L377" s="31"/>
      <c r="M377" s="31"/>
      <c r="N377" s="45"/>
      <c r="O377" s="31"/>
      <c r="P377" s="31"/>
      <c r="Q377" s="31"/>
      <c r="R377" s="45"/>
      <c r="S377" s="31"/>
    </row>
    <row r="378" spans="2:19" ht="15.75" x14ac:dyDescent="0.25">
      <c r="B378" s="76"/>
      <c r="C378" s="76"/>
      <c r="D378" s="77"/>
      <c r="E378" s="64"/>
      <c r="F378" s="78"/>
      <c r="G378" s="43"/>
      <c r="H378" s="79"/>
      <c r="I378" s="78"/>
      <c r="J378" s="78"/>
      <c r="K378" s="78"/>
      <c r="L378" s="78"/>
      <c r="M378" s="78"/>
      <c r="N378" s="79"/>
      <c r="O378" s="78"/>
      <c r="P378" s="80"/>
      <c r="Q378" s="80"/>
      <c r="R378" s="81"/>
      <c r="S378" s="82"/>
    </row>
    <row r="379" spans="2:19" ht="15.75" x14ac:dyDescent="0.25">
      <c r="B379" s="34">
        <v>1</v>
      </c>
      <c r="C379" s="34" t="s">
        <v>590</v>
      </c>
      <c r="D379" s="35" t="s">
        <v>591</v>
      </c>
      <c r="E379" s="36">
        <v>43738</v>
      </c>
      <c r="F379" s="37">
        <v>173.62299999999999</v>
      </c>
      <c r="G379" s="38">
        <v>10</v>
      </c>
      <c r="H379" s="39">
        <f t="shared" ref="H379:H402" si="79">+F379/G379</f>
        <v>17.362299999999998</v>
      </c>
      <c r="I379" s="37">
        <v>3227.2510000000002</v>
      </c>
      <c r="J379" s="37">
        <v>6412.6170000000002</v>
      </c>
      <c r="K379" s="37">
        <v>7164.8620000000001</v>
      </c>
      <c r="L379" s="37">
        <v>63.942</v>
      </c>
      <c r="M379" s="37">
        <v>1201.2270000000001</v>
      </c>
      <c r="N379" s="39">
        <f t="shared" ref="N379:N402" si="80">+M379-O379</f>
        <v>89.249000000000024</v>
      </c>
      <c r="O379" s="37">
        <v>1111.9780000000001</v>
      </c>
      <c r="P379" s="40">
        <f>75+125+300</f>
        <v>500</v>
      </c>
      <c r="Q379" s="40">
        <v>0</v>
      </c>
      <c r="R379" s="41">
        <f t="shared" ref="R379:R402" si="81">SUM(P379:Q379)</f>
        <v>500</v>
      </c>
      <c r="S379" s="42">
        <v>927</v>
      </c>
    </row>
    <row r="380" spans="2:19" ht="15.75" x14ac:dyDescent="0.25">
      <c r="B380" s="34">
        <f>+B379+1</f>
        <v>2</v>
      </c>
      <c r="C380" s="34" t="s">
        <v>592</v>
      </c>
      <c r="D380" s="35" t="s">
        <v>593</v>
      </c>
      <c r="E380" s="36">
        <v>43738</v>
      </c>
      <c r="F380" s="37">
        <v>172.90961999999999</v>
      </c>
      <c r="G380" s="38">
        <v>10</v>
      </c>
      <c r="H380" s="39">
        <f t="shared" si="79"/>
        <v>17.290962</v>
      </c>
      <c r="I380" s="37">
        <v>3392.6217889999998</v>
      </c>
      <c r="J380" s="37">
        <v>6495.3095880000001</v>
      </c>
      <c r="K380" s="37">
        <v>2314.6231579999999</v>
      </c>
      <c r="L380" s="37">
        <v>231.60279199999999</v>
      </c>
      <c r="M380" s="37">
        <v>-290.27065099999999</v>
      </c>
      <c r="N380" s="39">
        <f t="shared" si="80"/>
        <v>-75.578662999999978</v>
      </c>
      <c r="O380" s="37">
        <v>-214.69198800000001</v>
      </c>
      <c r="P380" s="40">
        <v>0</v>
      </c>
      <c r="Q380" s="40">
        <v>0</v>
      </c>
      <c r="R380" s="41">
        <f t="shared" si="81"/>
        <v>0</v>
      </c>
      <c r="S380" s="42">
        <v>2472</v>
      </c>
    </row>
    <row r="381" spans="2:19" ht="15.75" x14ac:dyDescent="0.25">
      <c r="B381" s="34">
        <f>+B380+1</f>
        <v>3</v>
      </c>
      <c r="C381" s="34" t="s">
        <v>594</v>
      </c>
      <c r="D381" s="35" t="s">
        <v>595</v>
      </c>
      <c r="E381" s="36">
        <v>43738</v>
      </c>
      <c r="F381" s="37">
        <v>204.73699999999999</v>
      </c>
      <c r="G381" s="38">
        <v>10</v>
      </c>
      <c r="H381" s="39">
        <f t="shared" si="79"/>
        <v>20.473700000000001</v>
      </c>
      <c r="I381" s="37">
        <v>3131.2060000000001</v>
      </c>
      <c r="J381" s="37">
        <v>9253.7289999999994</v>
      </c>
      <c r="K381" s="37">
        <v>9340.0310000000009</v>
      </c>
      <c r="L381" s="37">
        <v>495.80900000000003</v>
      </c>
      <c r="M381" s="37">
        <v>456.88600000000002</v>
      </c>
      <c r="N381" s="39">
        <f t="shared" si="80"/>
        <v>267.55200000000002</v>
      </c>
      <c r="O381" s="37">
        <v>189.334</v>
      </c>
      <c r="P381" s="40">
        <v>30</v>
      </c>
      <c r="Q381" s="40">
        <v>0</v>
      </c>
      <c r="R381" s="41">
        <f t="shared" si="81"/>
        <v>30</v>
      </c>
      <c r="S381" s="42">
        <v>1196</v>
      </c>
    </row>
    <row r="382" spans="2:19" ht="15.75" x14ac:dyDescent="0.25">
      <c r="B382" s="34">
        <f t="shared" ref="B382:B402" si="82">+B381+1</f>
        <v>4</v>
      </c>
      <c r="C382" s="34" t="s">
        <v>596</v>
      </c>
      <c r="D382" s="35" t="s">
        <v>597</v>
      </c>
      <c r="E382" s="36">
        <v>43738</v>
      </c>
      <c r="F382" s="37">
        <v>792.61666000000002</v>
      </c>
      <c r="G382" s="38">
        <v>10</v>
      </c>
      <c r="H382" s="39">
        <f>+F382/G382</f>
        <v>79.261666000000005</v>
      </c>
      <c r="I382" s="37">
        <v>576.85119699999996</v>
      </c>
      <c r="J382" s="37">
        <v>4064.7502770000001</v>
      </c>
      <c r="K382" s="37">
        <v>153.11000000000001</v>
      </c>
      <c r="L382" s="37">
        <v>62.811070999999998</v>
      </c>
      <c r="M382" s="37">
        <v>-258.63730900000002</v>
      </c>
      <c r="N382" s="39">
        <f>+M382-O382</f>
        <v>-204.61508300000003</v>
      </c>
      <c r="O382" s="37">
        <v>-54.022226000000003</v>
      </c>
      <c r="P382" s="40">
        <v>0</v>
      </c>
      <c r="Q382" s="40">
        <v>0</v>
      </c>
      <c r="R382" s="41">
        <f>SUM(P382:Q382)</f>
        <v>0</v>
      </c>
      <c r="S382" s="42">
        <v>2343</v>
      </c>
    </row>
    <row r="383" spans="2:19" ht="15.75" x14ac:dyDescent="0.25">
      <c r="B383" s="34">
        <f t="shared" si="82"/>
        <v>5</v>
      </c>
      <c r="C383" s="34" t="s">
        <v>598</v>
      </c>
      <c r="D383" s="35" t="s">
        <v>599</v>
      </c>
      <c r="E383" s="36">
        <v>43738</v>
      </c>
      <c r="F383" s="37">
        <v>94.5</v>
      </c>
      <c r="G383" s="38">
        <v>10</v>
      </c>
      <c r="H383" s="39">
        <f t="shared" si="79"/>
        <v>9.4499999999999993</v>
      </c>
      <c r="I383" s="37">
        <v>866.13012800000001</v>
      </c>
      <c r="J383" s="37">
        <v>3119.4303719999998</v>
      </c>
      <c r="K383" s="37">
        <v>121.607382</v>
      </c>
      <c r="L383" s="37">
        <v>176.19250600000001</v>
      </c>
      <c r="M383" s="37">
        <v>-627.62525800000003</v>
      </c>
      <c r="N383" s="39">
        <f t="shared" si="80"/>
        <v>54.999834999999962</v>
      </c>
      <c r="O383" s="37">
        <v>-682.62509299999999</v>
      </c>
      <c r="P383" s="40">
        <v>0</v>
      </c>
      <c r="Q383" s="40">
        <v>0</v>
      </c>
      <c r="R383" s="41">
        <f t="shared" si="81"/>
        <v>0</v>
      </c>
      <c r="S383" s="42">
        <v>1087</v>
      </c>
    </row>
    <row r="384" spans="2:19" ht="15.75" x14ac:dyDescent="0.25">
      <c r="B384" s="34">
        <f t="shared" si="82"/>
        <v>6</v>
      </c>
      <c r="C384" s="34" t="s">
        <v>600</v>
      </c>
      <c r="D384" s="35" t="s">
        <v>601</v>
      </c>
      <c r="E384" s="36">
        <v>43738</v>
      </c>
      <c r="F384" s="37">
        <v>286.92</v>
      </c>
      <c r="G384" s="38">
        <v>10</v>
      </c>
      <c r="H384" s="39">
        <f t="shared" si="79"/>
        <v>28.692</v>
      </c>
      <c r="I384" s="37">
        <v>6321.4589999999998</v>
      </c>
      <c r="J384" s="37">
        <v>13526.341</v>
      </c>
      <c r="K384" s="37">
        <v>12420.710999999999</v>
      </c>
      <c r="L384" s="37">
        <v>749.548</v>
      </c>
      <c r="M384" s="37">
        <v>636.5</v>
      </c>
      <c r="N384" s="39">
        <f t="shared" si="80"/>
        <v>57.851999999999975</v>
      </c>
      <c r="O384" s="37">
        <v>578.64800000000002</v>
      </c>
      <c r="P384" s="40">
        <v>50</v>
      </c>
      <c r="Q384" s="40">
        <v>0</v>
      </c>
      <c r="R384" s="41">
        <f t="shared" si="81"/>
        <v>50</v>
      </c>
      <c r="S384" s="42">
        <v>1109</v>
      </c>
    </row>
    <row r="385" spans="2:19" ht="15.75" x14ac:dyDescent="0.25">
      <c r="B385" s="34">
        <f t="shared" si="82"/>
        <v>7</v>
      </c>
      <c r="C385" s="34" t="s">
        <v>602</v>
      </c>
      <c r="D385" s="35" t="s">
        <v>603</v>
      </c>
      <c r="E385" s="36">
        <v>43738</v>
      </c>
      <c r="F385" s="37">
        <v>250.06954999999999</v>
      </c>
      <c r="G385" s="38">
        <v>10</v>
      </c>
      <c r="H385" s="39">
        <f t="shared" si="79"/>
        <v>25.006954999999998</v>
      </c>
      <c r="I385" s="37">
        <v>2320.1304270000001</v>
      </c>
      <c r="J385" s="37">
        <v>5636.8975790000004</v>
      </c>
      <c r="K385" s="37">
        <v>4619.0716119999997</v>
      </c>
      <c r="L385" s="37">
        <v>310.379413</v>
      </c>
      <c r="M385" s="37">
        <v>521.22916699999996</v>
      </c>
      <c r="N385" s="39">
        <f t="shared" si="80"/>
        <v>140.78405799999996</v>
      </c>
      <c r="O385" s="37">
        <v>380.445109</v>
      </c>
      <c r="P385" s="40">
        <v>10</v>
      </c>
      <c r="Q385" s="40">
        <v>0</v>
      </c>
      <c r="R385" s="41">
        <f t="shared" si="81"/>
        <v>10</v>
      </c>
      <c r="S385" s="42">
        <v>2315</v>
      </c>
    </row>
    <row r="386" spans="2:19" ht="15.75" x14ac:dyDescent="0.25">
      <c r="B386" s="34">
        <f t="shared" si="82"/>
        <v>8</v>
      </c>
      <c r="C386" s="34" t="s">
        <v>604</v>
      </c>
      <c r="D386" s="35" t="s">
        <v>605</v>
      </c>
      <c r="E386" s="36">
        <v>43738</v>
      </c>
      <c r="F386" s="37">
        <v>750</v>
      </c>
      <c r="G386" s="38">
        <v>5</v>
      </c>
      <c r="H386" s="39">
        <f t="shared" si="79"/>
        <v>150</v>
      </c>
      <c r="I386" s="37">
        <v>8075.6930000000002</v>
      </c>
      <c r="J386" s="37">
        <v>10749.004999999999</v>
      </c>
      <c r="K386" s="37">
        <v>9873.134</v>
      </c>
      <c r="L386" s="37">
        <v>134.179</v>
      </c>
      <c r="M386" s="37">
        <v>1342.2760000000001</v>
      </c>
      <c r="N386" s="39">
        <f t="shared" si="80"/>
        <v>140</v>
      </c>
      <c r="O386" s="37">
        <v>1202.2760000000001</v>
      </c>
      <c r="P386" s="40">
        <v>55</v>
      </c>
      <c r="Q386" s="40">
        <v>0</v>
      </c>
      <c r="R386" s="41">
        <f t="shared" si="81"/>
        <v>55</v>
      </c>
      <c r="S386" s="42">
        <v>4864</v>
      </c>
    </row>
    <row r="387" spans="2:19" ht="15.75" x14ac:dyDescent="0.25">
      <c r="B387" s="34">
        <f>+B386+1</f>
        <v>9</v>
      </c>
      <c r="C387" s="34" t="s">
        <v>606</v>
      </c>
      <c r="D387" s="35" t="s">
        <v>607</v>
      </c>
      <c r="E387" s="36">
        <v>43646</v>
      </c>
      <c r="F387" s="37">
        <v>200</v>
      </c>
      <c r="G387" s="38">
        <v>5</v>
      </c>
      <c r="H387" s="39">
        <f t="shared" si="79"/>
        <v>40</v>
      </c>
      <c r="I387" s="37">
        <v>840.16200500000002</v>
      </c>
      <c r="J387" s="37">
        <v>1164.791882</v>
      </c>
      <c r="K387" s="37">
        <v>1562.7003360000001</v>
      </c>
      <c r="L387" s="37">
        <v>2.932153</v>
      </c>
      <c r="M387" s="37">
        <v>137.97671299999999</v>
      </c>
      <c r="N387" s="39">
        <f t="shared" si="80"/>
        <v>14.727672999999996</v>
      </c>
      <c r="O387" s="37">
        <v>123.24903999999999</v>
      </c>
      <c r="P387" s="40">
        <v>50</v>
      </c>
      <c r="Q387" s="40">
        <v>0</v>
      </c>
      <c r="R387" s="41">
        <f t="shared" si="81"/>
        <v>50</v>
      </c>
      <c r="S387" s="42">
        <v>2306</v>
      </c>
    </row>
    <row r="388" spans="2:19" ht="15.75" x14ac:dyDescent="0.25">
      <c r="B388" s="34">
        <f t="shared" si="82"/>
        <v>10</v>
      </c>
      <c r="C388" s="34" t="s">
        <v>608</v>
      </c>
      <c r="D388" s="35" t="s">
        <v>609</v>
      </c>
      <c r="E388" s="36">
        <v>43738</v>
      </c>
      <c r="F388" s="37">
        <v>360</v>
      </c>
      <c r="G388" s="38">
        <v>10</v>
      </c>
      <c r="H388" s="39">
        <f t="shared" si="79"/>
        <v>36</v>
      </c>
      <c r="I388" s="37">
        <v>2401.2399930000001</v>
      </c>
      <c r="J388" s="37">
        <v>4640.997437</v>
      </c>
      <c r="K388" s="37">
        <v>3715.572674</v>
      </c>
      <c r="L388" s="37">
        <v>221.38083900000001</v>
      </c>
      <c r="M388" s="37">
        <v>313.18478800000003</v>
      </c>
      <c r="N388" s="39">
        <f t="shared" si="80"/>
        <v>19.642159000000049</v>
      </c>
      <c r="O388" s="37">
        <v>293.54262899999998</v>
      </c>
      <c r="P388" s="40">
        <v>3</v>
      </c>
      <c r="Q388" s="40">
        <v>7</v>
      </c>
      <c r="R388" s="41">
        <f t="shared" si="81"/>
        <v>10</v>
      </c>
      <c r="S388" s="42">
        <v>1097</v>
      </c>
    </row>
    <row r="389" spans="2:19" ht="15.75" x14ac:dyDescent="0.25">
      <c r="B389" s="34">
        <f t="shared" si="82"/>
        <v>11</v>
      </c>
      <c r="C389" s="34" t="s">
        <v>610</v>
      </c>
      <c r="D389" s="35" t="s">
        <v>611</v>
      </c>
      <c r="E389" s="36">
        <v>43738</v>
      </c>
      <c r="F389" s="37">
        <v>597.76661000000001</v>
      </c>
      <c r="G389" s="38">
        <v>10</v>
      </c>
      <c r="H389" s="39">
        <f t="shared" si="79"/>
        <v>59.776661000000004</v>
      </c>
      <c r="I389" s="37">
        <v>8772.8644760000006</v>
      </c>
      <c r="J389" s="37">
        <v>48260.224877000001</v>
      </c>
      <c r="K389" s="37">
        <v>49119.853168000001</v>
      </c>
      <c r="L389" s="37">
        <v>3511.6008419999998</v>
      </c>
      <c r="M389" s="37">
        <v>240.059639</v>
      </c>
      <c r="N389" s="39">
        <f t="shared" si="80"/>
        <v>-313.236784</v>
      </c>
      <c r="O389" s="37">
        <v>553.296423</v>
      </c>
      <c r="P389" s="40">
        <v>100</v>
      </c>
      <c r="Q389" s="40">
        <v>0</v>
      </c>
      <c r="R389" s="41">
        <f t="shared" si="81"/>
        <v>100</v>
      </c>
      <c r="S389" s="42">
        <v>1152</v>
      </c>
    </row>
    <row r="390" spans="2:19" ht="15.75" x14ac:dyDescent="0.25">
      <c r="B390" s="34">
        <f t="shared" si="82"/>
        <v>12</v>
      </c>
      <c r="C390" s="34" t="s">
        <v>612</v>
      </c>
      <c r="D390" s="35" t="s">
        <v>613</v>
      </c>
      <c r="E390" s="36">
        <v>43738</v>
      </c>
      <c r="F390" s="37">
        <v>341.28453000000002</v>
      </c>
      <c r="G390" s="38">
        <v>10</v>
      </c>
      <c r="H390" s="39">
        <f t="shared" si="79"/>
        <v>34.128453</v>
      </c>
      <c r="I390" s="37">
        <v>2899.9341340000001</v>
      </c>
      <c r="J390" s="37">
        <v>4361.0908600000002</v>
      </c>
      <c r="K390" s="37">
        <v>3441.4832019999999</v>
      </c>
      <c r="L390" s="37">
        <v>205.679057</v>
      </c>
      <c r="M390" s="37">
        <v>257.26911100000001</v>
      </c>
      <c r="N390" s="39">
        <f t="shared" si="80"/>
        <v>74.551997999999998</v>
      </c>
      <c r="O390" s="37">
        <v>182.71711300000001</v>
      </c>
      <c r="P390" s="40">
        <v>10</v>
      </c>
      <c r="Q390" s="40">
        <f>20</f>
        <v>20</v>
      </c>
      <c r="R390" s="41">
        <f t="shared" si="81"/>
        <v>30</v>
      </c>
      <c r="S390" s="42">
        <v>1184</v>
      </c>
    </row>
    <row r="391" spans="2:19" ht="15.75" x14ac:dyDescent="0.25">
      <c r="B391" s="34">
        <f t="shared" si="82"/>
        <v>13</v>
      </c>
      <c r="C391" s="34" t="s">
        <v>614</v>
      </c>
      <c r="D391" s="35" t="s">
        <v>615</v>
      </c>
      <c r="E391" s="36">
        <v>43738</v>
      </c>
      <c r="F391" s="37">
        <v>160.17500000000001</v>
      </c>
      <c r="G391" s="38">
        <v>10</v>
      </c>
      <c r="H391" s="39">
        <f t="shared" si="79"/>
        <v>16.017500000000002</v>
      </c>
      <c r="I391" s="37">
        <v>990.88699999999994</v>
      </c>
      <c r="J391" s="37">
        <v>3973.2890000000002</v>
      </c>
      <c r="K391" s="37">
        <v>4252.277</v>
      </c>
      <c r="L391" s="37">
        <v>279.78699999999998</v>
      </c>
      <c r="M391" s="37">
        <v>-85.123000000000005</v>
      </c>
      <c r="N391" s="39">
        <f t="shared" si="80"/>
        <v>-21.120000000000005</v>
      </c>
      <c r="O391" s="37">
        <v>-64.003</v>
      </c>
      <c r="P391" s="40">
        <v>0</v>
      </c>
      <c r="Q391" s="40">
        <v>0</v>
      </c>
      <c r="R391" s="41">
        <f t="shared" si="81"/>
        <v>0</v>
      </c>
      <c r="S391" s="42">
        <v>140</v>
      </c>
    </row>
    <row r="392" spans="2:19" ht="15.75" x14ac:dyDescent="0.25">
      <c r="B392" s="34">
        <f t="shared" si="82"/>
        <v>14</v>
      </c>
      <c r="C392" s="34" t="s">
        <v>616</v>
      </c>
      <c r="D392" s="35" t="s">
        <v>617</v>
      </c>
      <c r="E392" s="36">
        <v>43738</v>
      </c>
      <c r="F392" s="37">
        <v>122.682</v>
      </c>
      <c r="G392" s="38">
        <v>10</v>
      </c>
      <c r="H392" s="39">
        <f t="shared" si="79"/>
        <v>12.2682</v>
      </c>
      <c r="I392" s="37">
        <v>1983.905</v>
      </c>
      <c r="J392" s="37">
        <v>5800.5709999999999</v>
      </c>
      <c r="K392" s="37">
        <v>3728.9859999999999</v>
      </c>
      <c r="L392" s="37">
        <v>404.358</v>
      </c>
      <c r="M392" s="37">
        <v>417.66899999999998</v>
      </c>
      <c r="N392" s="39">
        <f t="shared" si="80"/>
        <v>110.48099999999999</v>
      </c>
      <c r="O392" s="37">
        <v>307.18799999999999</v>
      </c>
      <c r="P392" s="40">
        <v>0</v>
      </c>
      <c r="Q392" s="40">
        <v>10</v>
      </c>
      <c r="R392" s="41">
        <f t="shared" si="81"/>
        <v>10</v>
      </c>
      <c r="S392" s="42">
        <v>1822</v>
      </c>
    </row>
    <row r="393" spans="2:19" ht="15.75" x14ac:dyDescent="0.25">
      <c r="B393" s="34">
        <f t="shared" si="82"/>
        <v>15</v>
      </c>
      <c r="C393" s="34" t="s">
        <v>618</v>
      </c>
      <c r="D393" s="35" t="s">
        <v>619</v>
      </c>
      <c r="E393" s="36">
        <v>43738</v>
      </c>
      <c r="F393" s="37">
        <v>405.19524000000001</v>
      </c>
      <c r="G393" s="38">
        <v>10</v>
      </c>
      <c r="H393" s="39">
        <f t="shared" si="79"/>
        <v>40.519524000000004</v>
      </c>
      <c r="I393" s="37">
        <v>2414.8968500000001</v>
      </c>
      <c r="J393" s="37">
        <v>6963.4493240000002</v>
      </c>
      <c r="K393" s="37">
        <v>5311.7731450000001</v>
      </c>
      <c r="L393" s="37">
        <v>384.77430299999997</v>
      </c>
      <c r="M393" s="37">
        <v>512.14707199999998</v>
      </c>
      <c r="N393" s="39">
        <f t="shared" si="80"/>
        <v>108.31284099999999</v>
      </c>
      <c r="O393" s="37">
        <v>403.83423099999999</v>
      </c>
      <c r="P393" s="40">
        <f>12.5+10+10</f>
        <v>32.5</v>
      </c>
      <c r="Q393" s="40">
        <f>10+15</f>
        <v>25</v>
      </c>
      <c r="R393" s="41">
        <f t="shared" si="81"/>
        <v>57.5</v>
      </c>
      <c r="S393" s="42">
        <v>1496</v>
      </c>
    </row>
    <row r="394" spans="2:19" ht="15.75" x14ac:dyDescent="0.25">
      <c r="B394" s="34">
        <f t="shared" si="82"/>
        <v>16</v>
      </c>
      <c r="C394" s="34" t="s">
        <v>620</v>
      </c>
      <c r="D394" s="35" t="s">
        <v>621</v>
      </c>
      <c r="E394" s="36">
        <v>43738</v>
      </c>
      <c r="F394" s="37">
        <v>165.17500000000001</v>
      </c>
      <c r="G394" s="38">
        <v>10</v>
      </c>
      <c r="H394" s="39">
        <f t="shared" si="79"/>
        <v>16.517500000000002</v>
      </c>
      <c r="I394" s="37">
        <v>928.84100000000001</v>
      </c>
      <c r="J394" s="37">
        <v>4211.4539999999997</v>
      </c>
      <c r="K394" s="37">
        <v>5671.2190000000001</v>
      </c>
      <c r="L394" s="37">
        <v>340.52</v>
      </c>
      <c r="M394" s="37">
        <v>272.33199999999999</v>
      </c>
      <c r="N394" s="39">
        <f t="shared" si="80"/>
        <v>47.014999999999986</v>
      </c>
      <c r="O394" s="37">
        <v>225.31700000000001</v>
      </c>
      <c r="P394" s="40">
        <v>30</v>
      </c>
      <c r="Q394" s="40">
        <v>0</v>
      </c>
      <c r="R394" s="41">
        <f t="shared" si="81"/>
        <v>30</v>
      </c>
      <c r="S394" s="42">
        <v>1846</v>
      </c>
    </row>
    <row r="395" spans="2:19" ht="15.75" x14ac:dyDescent="0.25">
      <c r="B395" s="34">
        <f t="shared" si="82"/>
        <v>17</v>
      </c>
      <c r="C395" s="34" t="s">
        <v>622</v>
      </c>
      <c r="D395" s="35" t="s">
        <v>623</v>
      </c>
      <c r="E395" s="36">
        <v>43738</v>
      </c>
      <c r="F395" s="37">
        <v>37.5</v>
      </c>
      <c r="G395" s="38">
        <v>10</v>
      </c>
      <c r="H395" s="39">
        <f t="shared" si="79"/>
        <v>3.75</v>
      </c>
      <c r="I395" s="37">
        <v>993.46400000000006</v>
      </c>
      <c r="J395" s="37">
        <v>1924.249</v>
      </c>
      <c r="K395" s="37">
        <v>1072.46</v>
      </c>
      <c r="L395" s="37">
        <v>119.18899999999999</v>
      </c>
      <c r="M395" s="37">
        <v>30.87</v>
      </c>
      <c r="N395" s="39">
        <f t="shared" si="80"/>
        <v>30.686</v>
      </c>
      <c r="O395" s="37">
        <v>0.184</v>
      </c>
      <c r="P395" s="40">
        <v>0</v>
      </c>
      <c r="Q395" s="40">
        <v>0</v>
      </c>
      <c r="R395" s="41">
        <f t="shared" si="81"/>
        <v>0</v>
      </c>
      <c r="S395" s="42">
        <v>1308</v>
      </c>
    </row>
    <row r="396" spans="2:19" ht="15.75" x14ac:dyDescent="0.25">
      <c r="B396" s="34">
        <f t="shared" si="82"/>
        <v>18</v>
      </c>
      <c r="C396" s="34" t="s">
        <v>624</v>
      </c>
      <c r="D396" s="35" t="s">
        <v>625</v>
      </c>
      <c r="E396" s="36">
        <v>43738</v>
      </c>
      <c r="F396" s="37">
        <v>119.46</v>
      </c>
      <c r="G396" s="38">
        <v>10</v>
      </c>
      <c r="H396" s="39">
        <f t="shared" si="79"/>
        <v>11.946</v>
      </c>
      <c r="I396" s="37">
        <v>1223.854</v>
      </c>
      <c r="J396" s="37">
        <v>3640.7730000000001</v>
      </c>
      <c r="K396" s="37">
        <v>2770.4389999999999</v>
      </c>
      <c r="L396" s="37">
        <v>172.667</v>
      </c>
      <c r="M396" s="37">
        <v>-148.608</v>
      </c>
      <c r="N396" s="39">
        <f t="shared" si="80"/>
        <v>-49.753</v>
      </c>
      <c r="O396" s="37">
        <v>-98.855000000000004</v>
      </c>
      <c r="P396" s="40">
        <v>0</v>
      </c>
      <c r="Q396" s="40">
        <v>0</v>
      </c>
      <c r="R396" s="41">
        <f t="shared" si="81"/>
        <v>0</v>
      </c>
      <c r="S396" s="42">
        <v>1143</v>
      </c>
    </row>
    <row r="397" spans="2:19" ht="15.75" x14ac:dyDescent="0.25">
      <c r="B397" s="34">
        <f t="shared" si="82"/>
        <v>19</v>
      </c>
      <c r="C397" s="34" t="s">
        <v>626</v>
      </c>
      <c r="D397" s="35" t="s">
        <v>627</v>
      </c>
      <c r="E397" s="36">
        <v>43738</v>
      </c>
      <c r="F397" s="37">
        <v>104.25</v>
      </c>
      <c r="G397" s="38">
        <v>10</v>
      </c>
      <c r="H397" s="39">
        <f t="shared" si="79"/>
        <v>10.425000000000001</v>
      </c>
      <c r="I397" s="37">
        <v>1317.730881</v>
      </c>
      <c r="J397" s="37">
        <v>3497.5291419999999</v>
      </c>
      <c r="K397" s="37">
        <v>2211.305116</v>
      </c>
      <c r="L397" s="37">
        <v>198.46435600000001</v>
      </c>
      <c r="M397" s="37">
        <v>41.192278999999999</v>
      </c>
      <c r="N397" s="39">
        <f t="shared" si="80"/>
        <v>-8.4614060000000038</v>
      </c>
      <c r="O397" s="37">
        <v>49.653685000000003</v>
      </c>
      <c r="P397" s="40">
        <v>10</v>
      </c>
      <c r="Q397" s="40">
        <v>0</v>
      </c>
      <c r="R397" s="41">
        <f t="shared" si="81"/>
        <v>10</v>
      </c>
      <c r="S397" s="42">
        <v>1845</v>
      </c>
    </row>
    <row r="398" spans="2:19" ht="15.75" x14ac:dyDescent="0.25">
      <c r="B398" s="34">
        <f t="shared" si="82"/>
        <v>20</v>
      </c>
      <c r="C398" s="34" t="s">
        <v>628</v>
      </c>
      <c r="D398" s="35" t="s">
        <v>629</v>
      </c>
      <c r="E398" s="36">
        <v>43738</v>
      </c>
      <c r="F398" s="37">
        <v>120.111</v>
      </c>
      <c r="G398" s="38">
        <v>10</v>
      </c>
      <c r="H398" s="39">
        <f t="shared" si="79"/>
        <v>12.011100000000001</v>
      </c>
      <c r="I398" s="37">
        <v>2459.828</v>
      </c>
      <c r="J398" s="37">
        <v>4739.7389999999996</v>
      </c>
      <c r="K398" s="37">
        <v>4609.54</v>
      </c>
      <c r="L398" s="37">
        <v>129.61000000000001</v>
      </c>
      <c r="M398" s="37">
        <v>87.989000000000004</v>
      </c>
      <c r="N398" s="39">
        <f t="shared" si="80"/>
        <v>54.746000000000002</v>
      </c>
      <c r="O398" s="37">
        <v>33.243000000000002</v>
      </c>
      <c r="P398" s="40">
        <v>0</v>
      </c>
      <c r="Q398" s="40">
        <v>0</v>
      </c>
      <c r="R398" s="41">
        <f t="shared" si="81"/>
        <v>0</v>
      </c>
      <c r="S398" s="42">
        <v>755</v>
      </c>
    </row>
    <row r="399" spans="2:19" ht="15.75" x14ac:dyDescent="0.25">
      <c r="B399" s="34">
        <f t="shared" si="82"/>
        <v>21</v>
      </c>
      <c r="C399" s="34" t="s">
        <v>630</v>
      </c>
      <c r="D399" s="35" t="s">
        <v>631</v>
      </c>
      <c r="E399" s="36">
        <v>43738</v>
      </c>
      <c r="F399" s="37">
        <v>211.18700000000001</v>
      </c>
      <c r="G399" s="38">
        <v>10</v>
      </c>
      <c r="H399" s="39">
        <f t="shared" si="79"/>
        <v>21.1187</v>
      </c>
      <c r="I399" s="37">
        <v>4377.8029999999999</v>
      </c>
      <c r="J399" s="37">
        <v>10390.857</v>
      </c>
      <c r="K399" s="37">
        <v>9497.5519999999997</v>
      </c>
      <c r="L399" s="37">
        <v>350.34699999999998</v>
      </c>
      <c r="M399" s="37">
        <v>1354.5319999999999</v>
      </c>
      <c r="N399" s="39">
        <f t="shared" si="80"/>
        <v>148.98599999999988</v>
      </c>
      <c r="O399" s="37">
        <v>1205.546</v>
      </c>
      <c r="P399" s="40">
        <v>170</v>
      </c>
      <c r="Q399" s="40">
        <v>0</v>
      </c>
      <c r="R399" s="41">
        <f t="shared" si="81"/>
        <v>170</v>
      </c>
      <c r="S399" s="42">
        <v>2254</v>
      </c>
    </row>
    <row r="400" spans="2:19" ht="15.75" x14ac:dyDescent="0.25">
      <c r="B400" s="34">
        <f t="shared" si="82"/>
        <v>22</v>
      </c>
      <c r="C400" s="34" t="s">
        <v>632</v>
      </c>
      <c r="D400" s="35" t="s">
        <v>633</v>
      </c>
      <c r="E400" s="36">
        <v>43738</v>
      </c>
      <c r="F400" s="37">
        <v>446.16</v>
      </c>
      <c r="G400" s="38">
        <v>10</v>
      </c>
      <c r="H400" s="39">
        <f t="shared" si="79"/>
        <v>44.616</v>
      </c>
      <c r="I400" s="37">
        <v>1920.2159999999999</v>
      </c>
      <c r="J400" s="37">
        <v>4299.33</v>
      </c>
      <c r="K400" s="37">
        <v>3387.5340000000001</v>
      </c>
      <c r="L400" s="37">
        <v>158.96700000000001</v>
      </c>
      <c r="M400" s="37">
        <v>223.35</v>
      </c>
      <c r="N400" s="39">
        <f t="shared" si="80"/>
        <v>66.700999999999993</v>
      </c>
      <c r="O400" s="37">
        <v>156.649</v>
      </c>
      <c r="P400" s="40">
        <v>0</v>
      </c>
      <c r="Q400" s="40">
        <v>0</v>
      </c>
      <c r="R400" s="41">
        <f t="shared" si="81"/>
        <v>0</v>
      </c>
      <c r="S400" s="42">
        <v>2278</v>
      </c>
    </row>
    <row r="401" spans="2:19" ht="15.75" x14ac:dyDescent="0.25">
      <c r="B401" s="34">
        <f t="shared" si="82"/>
        <v>23</v>
      </c>
      <c r="C401" s="34" t="s">
        <v>634</v>
      </c>
      <c r="D401" s="35" t="s">
        <v>635</v>
      </c>
      <c r="E401" s="36">
        <v>43738</v>
      </c>
      <c r="F401" s="37">
        <v>1250</v>
      </c>
      <c r="G401" s="38">
        <v>10</v>
      </c>
      <c r="H401" s="39">
        <f t="shared" si="79"/>
        <v>125</v>
      </c>
      <c r="I401" s="37">
        <v>7859.8</v>
      </c>
      <c r="J401" s="37">
        <v>13350.983</v>
      </c>
      <c r="K401" s="37">
        <v>6251.9070000000002</v>
      </c>
      <c r="L401" s="37">
        <v>331.03399999999999</v>
      </c>
      <c r="M401" s="37">
        <v>-803.28899999999999</v>
      </c>
      <c r="N401" s="39">
        <f t="shared" si="80"/>
        <v>-51.755999999999972</v>
      </c>
      <c r="O401" s="37">
        <v>-751.53300000000002</v>
      </c>
      <c r="P401" s="40">
        <v>0</v>
      </c>
      <c r="Q401" s="40">
        <v>0</v>
      </c>
      <c r="R401" s="41">
        <f t="shared" si="81"/>
        <v>0</v>
      </c>
      <c r="S401" s="42">
        <v>1631</v>
      </c>
    </row>
    <row r="402" spans="2:19" ht="15.75" x14ac:dyDescent="0.25">
      <c r="B402" s="34">
        <f t="shared" si="82"/>
        <v>24</v>
      </c>
      <c r="C402" s="34" t="s">
        <v>636</v>
      </c>
      <c r="D402" s="35" t="s">
        <v>637</v>
      </c>
      <c r="E402" s="36">
        <v>43738</v>
      </c>
      <c r="F402" s="37">
        <v>150.23231999999999</v>
      </c>
      <c r="G402" s="38">
        <v>10</v>
      </c>
      <c r="H402" s="39">
        <f t="shared" si="79"/>
        <v>15.023231999999998</v>
      </c>
      <c r="I402" s="37">
        <v>2223.8239330000001</v>
      </c>
      <c r="J402" s="37">
        <v>9262.4261640000004</v>
      </c>
      <c r="K402" s="37">
        <v>14359.61321</v>
      </c>
      <c r="L402" s="37">
        <v>728.08248000000003</v>
      </c>
      <c r="M402" s="37">
        <v>542.57510100000002</v>
      </c>
      <c r="N402" s="39">
        <f t="shared" si="80"/>
        <v>200.27628400000003</v>
      </c>
      <c r="O402" s="37">
        <v>342.29881699999999</v>
      </c>
      <c r="P402" s="40">
        <v>15</v>
      </c>
      <c r="Q402" s="40">
        <v>0</v>
      </c>
      <c r="R402" s="41">
        <f t="shared" si="81"/>
        <v>15</v>
      </c>
      <c r="S402" s="42">
        <v>993</v>
      </c>
    </row>
    <row r="403" spans="2:19" ht="15.75" x14ac:dyDescent="0.25">
      <c r="B403" s="76"/>
      <c r="C403" s="76"/>
      <c r="D403" s="77"/>
      <c r="E403" s="64"/>
      <c r="F403" s="78"/>
      <c r="G403" s="43"/>
      <c r="H403" s="79"/>
      <c r="I403" s="78"/>
      <c r="J403" s="78"/>
      <c r="K403" s="78"/>
      <c r="L403" s="78"/>
      <c r="M403" s="78"/>
      <c r="N403" s="79"/>
      <c r="O403" s="78"/>
      <c r="P403" s="80"/>
      <c r="Q403" s="80"/>
      <c r="R403" s="81"/>
      <c r="S403" s="82"/>
    </row>
    <row r="404" spans="2:19" ht="18.75" x14ac:dyDescent="0.3">
      <c r="B404" s="29"/>
      <c r="C404" s="29"/>
      <c r="D404" s="56" t="s">
        <v>43</v>
      </c>
      <c r="E404" s="29"/>
      <c r="F404" s="29"/>
      <c r="G404" s="43"/>
      <c r="H404" s="44"/>
      <c r="I404" s="31"/>
      <c r="J404" s="31"/>
      <c r="K404" s="31"/>
      <c r="L404" s="31"/>
      <c r="M404" s="31"/>
      <c r="N404" s="45"/>
      <c r="O404" s="31"/>
      <c r="P404" s="31"/>
      <c r="Q404" s="31"/>
      <c r="R404" s="45"/>
      <c r="S404" s="31"/>
    </row>
    <row r="405" spans="2:19" ht="15.75" x14ac:dyDescent="0.25">
      <c r="B405" s="34">
        <v>1</v>
      </c>
      <c r="C405" s="34" t="s">
        <v>638</v>
      </c>
      <c r="D405" s="35" t="s">
        <v>639</v>
      </c>
      <c r="E405" s="36">
        <v>43738</v>
      </c>
      <c r="F405" s="37"/>
      <c r="G405" s="38">
        <v>10</v>
      </c>
      <c r="H405" s="39">
        <f>+F405/G405</f>
        <v>0</v>
      </c>
      <c r="I405" s="37"/>
      <c r="J405" s="37"/>
      <c r="K405" s="37"/>
      <c r="L405" s="37"/>
      <c r="M405" s="37"/>
      <c r="N405" s="39">
        <f>+M405-O405</f>
        <v>0</v>
      </c>
      <c r="O405" s="37"/>
      <c r="P405" s="40"/>
      <c r="Q405" s="40"/>
      <c r="R405" s="41">
        <f>SUM(P405:Q405)</f>
        <v>0</v>
      </c>
      <c r="S405" s="42"/>
    </row>
    <row r="406" spans="2:19" ht="15.75" x14ac:dyDescent="0.25">
      <c r="B406" s="34">
        <f>+B405+1</f>
        <v>2</v>
      </c>
      <c r="C406" s="34" t="s">
        <v>640</v>
      </c>
      <c r="D406" s="35" t="s">
        <v>641</v>
      </c>
      <c r="E406" s="36">
        <v>43738</v>
      </c>
      <c r="F406" s="37">
        <v>915.11991999999998</v>
      </c>
      <c r="G406" s="38">
        <v>10</v>
      </c>
      <c r="H406" s="39">
        <f>+F406/G406</f>
        <v>91.511991999999992</v>
      </c>
      <c r="I406" s="37">
        <v>534.26366499999995</v>
      </c>
      <c r="J406" s="37">
        <v>6179.328638</v>
      </c>
      <c r="K406" s="37">
        <v>5707.9893229999998</v>
      </c>
      <c r="L406" s="37">
        <v>54.433284</v>
      </c>
      <c r="M406" s="37">
        <v>-560.45712800000001</v>
      </c>
      <c r="N406" s="39">
        <f>+M406-O406</f>
        <v>-13.543206000000055</v>
      </c>
      <c r="O406" s="37">
        <v>-546.91392199999996</v>
      </c>
      <c r="P406" s="40">
        <v>0</v>
      </c>
      <c r="Q406" s="40">
        <v>0</v>
      </c>
      <c r="R406" s="41">
        <f>SUM(P406:Q406)</f>
        <v>0</v>
      </c>
      <c r="S406" s="42">
        <v>2144</v>
      </c>
    </row>
    <row r="407" spans="2:19" ht="15.75" x14ac:dyDescent="0.25">
      <c r="B407" s="34">
        <f t="shared" ref="B407:B409" si="83">+B406+1</f>
        <v>3</v>
      </c>
      <c r="C407" s="34" t="s">
        <v>642</v>
      </c>
      <c r="D407" s="35" t="s">
        <v>643</v>
      </c>
      <c r="E407" s="36">
        <v>43738</v>
      </c>
      <c r="F407" s="37">
        <v>324</v>
      </c>
      <c r="G407" s="38">
        <v>10</v>
      </c>
      <c r="H407" s="39">
        <f>+F407/G407</f>
        <v>32.4</v>
      </c>
      <c r="I407" s="37">
        <v>-922.84123799999998</v>
      </c>
      <c r="J407" s="37">
        <v>3447.0955469999999</v>
      </c>
      <c r="K407" s="37">
        <v>0</v>
      </c>
      <c r="L407" s="37">
        <v>216.697836</v>
      </c>
      <c r="M407" s="37">
        <v>-427.30726199999998</v>
      </c>
      <c r="N407" s="39">
        <f>+M407-O407</f>
        <v>-90.310562000000004</v>
      </c>
      <c r="O407" s="37">
        <v>-336.99669999999998</v>
      </c>
      <c r="P407" s="40">
        <v>0</v>
      </c>
      <c r="Q407" s="40">
        <v>0</v>
      </c>
      <c r="R407" s="41">
        <f>SUM(P407:Q407)</f>
        <v>0</v>
      </c>
      <c r="S407" s="42">
        <v>1568</v>
      </c>
    </row>
    <row r="408" spans="2:19" ht="15.75" x14ac:dyDescent="0.25">
      <c r="B408" s="34">
        <f t="shared" si="83"/>
        <v>4</v>
      </c>
      <c r="C408" s="34" t="s">
        <v>644</v>
      </c>
      <c r="D408" s="35" t="s">
        <v>645</v>
      </c>
      <c r="E408" s="36">
        <v>43738</v>
      </c>
      <c r="F408" s="37">
        <v>990.2</v>
      </c>
      <c r="G408" s="38">
        <v>10</v>
      </c>
      <c r="H408" s="39">
        <f>+F408/G408</f>
        <v>99.02000000000001</v>
      </c>
      <c r="I408" s="37">
        <v>9829.2849999999999</v>
      </c>
      <c r="J408" s="37">
        <v>12304.545</v>
      </c>
      <c r="K408" s="37">
        <v>0</v>
      </c>
      <c r="L408" s="37">
        <v>0</v>
      </c>
      <c r="M408" s="37">
        <v>154.893</v>
      </c>
      <c r="N408" s="39">
        <f>+M408-O408</f>
        <v>0</v>
      </c>
      <c r="O408" s="37">
        <v>154.893</v>
      </c>
      <c r="P408" s="40">
        <v>0</v>
      </c>
      <c r="Q408" s="40">
        <v>0</v>
      </c>
      <c r="R408" s="41">
        <f>SUM(P408:Q408)</f>
        <v>0</v>
      </c>
      <c r="S408" s="42">
        <v>1818</v>
      </c>
    </row>
    <row r="409" spans="2:19" ht="15.75" x14ac:dyDescent="0.25">
      <c r="B409" s="34">
        <f t="shared" si="83"/>
        <v>5</v>
      </c>
      <c r="C409" s="34" t="s">
        <v>646</v>
      </c>
      <c r="D409" s="35" t="s">
        <v>647</v>
      </c>
      <c r="E409" s="36">
        <v>43738</v>
      </c>
      <c r="F409" s="37">
        <v>1177.0630000000001</v>
      </c>
      <c r="G409" s="38">
        <v>10</v>
      </c>
      <c r="H409" s="39">
        <f>+F409/G409</f>
        <v>117.70630000000001</v>
      </c>
      <c r="I409" s="37">
        <v>9997.0783869999996</v>
      </c>
      <c r="J409" s="37">
        <v>23592.612622000001</v>
      </c>
      <c r="K409" s="37">
        <v>27295.874629999998</v>
      </c>
      <c r="L409" s="37">
        <v>1499.6457359999999</v>
      </c>
      <c r="M409" s="37">
        <v>1680.1986420000001</v>
      </c>
      <c r="N409" s="39">
        <f>+M409-O409</f>
        <v>234.2759880000001</v>
      </c>
      <c r="O409" s="37">
        <v>1445.922654</v>
      </c>
      <c r="P409" s="40">
        <v>0</v>
      </c>
      <c r="Q409" s="40">
        <v>0</v>
      </c>
      <c r="R409" s="41">
        <f>SUM(P409:Q409)</f>
        <v>0</v>
      </c>
      <c r="S409" s="42">
        <v>698</v>
      </c>
    </row>
    <row r="410" spans="2:19" ht="15.75" x14ac:dyDescent="0.25">
      <c r="B410" s="76"/>
      <c r="C410" s="76"/>
      <c r="D410" s="77"/>
      <c r="E410" s="64"/>
      <c r="F410" s="78"/>
      <c r="G410" s="43"/>
      <c r="H410" s="79"/>
      <c r="I410" s="78"/>
      <c r="J410" s="78"/>
      <c r="K410" s="78"/>
      <c r="L410" s="78"/>
      <c r="M410" s="78"/>
      <c r="N410" s="79"/>
      <c r="O410" s="78"/>
      <c r="P410" s="80"/>
      <c r="Q410" s="80"/>
      <c r="R410" s="81"/>
      <c r="S410" s="82"/>
    </row>
    <row r="411" spans="2:19" ht="15.75" x14ac:dyDescent="0.25">
      <c r="B411" s="34">
        <f>COUNT(B379:B410)</f>
        <v>29</v>
      </c>
      <c r="C411" s="34"/>
      <c r="D411" s="48"/>
      <c r="E411" s="48"/>
      <c r="F411" s="48">
        <f>SUM(F379:F410)</f>
        <v>10922.937450000001</v>
      </c>
      <c r="G411" s="49"/>
      <c r="H411" s="50">
        <f t="shared" ref="H411:O411" si="84">SUM(H379:H410)</f>
        <v>1187.2937450000002</v>
      </c>
      <c r="I411" s="48">
        <f t="shared" si="84"/>
        <v>90958.378627000027</v>
      </c>
      <c r="J411" s="48">
        <f t="shared" si="84"/>
        <v>235263.41630899999</v>
      </c>
      <c r="K411" s="48">
        <f t="shared" si="84"/>
        <v>199975.22895600004</v>
      </c>
      <c r="L411" s="48">
        <f t="shared" si="84"/>
        <v>11534.633668000002</v>
      </c>
      <c r="M411" s="48">
        <f t="shared" si="84"/>
        <v>7223.0389040000009</v>
      </c>
      <c r="N411" s="51">
        <f t="shared" si="84"/>
        <v>1032.4641320000001</v>
      </c>
      <c r="O411" s="48">
        <f t="shared" si="84"/>
        <v>6190.5747720000018</v>
      </c>
      <c r="P411" s="52"/>
      <c r="Q411" s="52"/>
      <c r="R411" s="53"/>
      <c r="S411" s="54">
        <f>SUM(S379:S410)</f>
        <v>45791</v>
      </c>
    </row>
    <row r="412" spans="2:19" ht="15.75" x14ac:dyDescent="0.25">
      <c r="B412" s="76"/>
      <c r="C412" s="76"/>
      <c r="D412" s="77"/>
      <c r="E412" s="64"/>
      <c r="F412" s="78"/>
      <c r="G412" s="43"/>
      <c r="H412" s="79"/>
      <c r="I412" s="78"/>
      <c r="J412" s="78"/>
      <c r="K412" s="78"/>
      <c r="L412" s="78"/>
      <c r="M412" s="78"/>
      <c r="N412" s="79"/>
      <c r="O412" s="78"/>
      <c r="P412" s="80"/>
      <c r="Q412" s="80"/>
      <c r="R412" s="81"/>
      <c r="S412" s="82"/>
    </row>
    <row r="413" spans="2:19" ht="15.75" x14ac:dyDescent="0.25">
      <c r="B413" s="76"/>
      <c r="C413" s="76"/>
      <c r="D413" s="77"/>
      <c r="E413" s="64"/>
      <c r="F413" s="78"/>
      <c r="G413" s="43"/>
      <c r="H413" s="79"/>
      <c r="I413" s="78"/>
      <c r="J413" s="78"/>
      <c r="K413" s="78"/>
      <c r="L413" s="78"/>
      <c r="M413" s="78"/>
      <c r="N413" s="79"/>
      <c r="O413" s="78"/>
      <c r="P413" s="80"/>
      <c r="Q413" s="80"/>
      <c r="R413" s="81"/>
      <c r="S413" s="82"/>
    </row>
    <row r="414" spans="2:19" ht="18.75" x14ac:dyDescent="0.3">
      <c r="B414" s="29"/>
      <c r="C414" s="33">
        <v>15</v>
      </c>
      <c r="D414" s="33" t="s">
        <v>648</v>
      </c>
      <c r="E414" s="61"/>
      <c r="F414" s="61"/>
      <c r="G414" s="43"/>
      <c r="H414" s="44"/>
      <c r="I414" s="31"/>
      <c r="J414" s="31"/>
      <c r="K414" s="31"/>
      <c r="L414" s="31"/>
      <c r="M414" s="31"/>
      <c r="N414" s="45"/>
      <c r="O414" s="31"/>
      <c r="P414" s="31"/>
      <c r="Q414" s="31"/>
      <c r="R414" s="45"/>
      <c r="S414" s="31"/>
    </row>
    <row r="415" spans="2:19" ht="15.75" x14ac:dyDescent="0.25">
      <c r="B415" s="76"/>
      <c r="C415" s="76"/>
      <c r="D415" s="77"/>
      <c r="E415" s="64"/>
      <c r="F415" s="78"/>
      <c r="G415" s="43"/>
      <c r="H415" s="79"/>
      <c r="I415" s="78"/>
      <c r="J415" s="78"/>
      <c r="K415" s="78"/>
      <c r="L415" s="78"/>
      <c r="M415" s="78"/>
      <c r="N415" s="79"/>
      <c r="O415" s="78"/>
      <c r="P415" s="80"/>
      <c r="Q415" s="80"/>
      <c r="R415" s="81"/>
      <c r="S415" s="82"/>
    </row>
    <row r="416" spans="2:19" ht="15.75" x14ac:dyDescent="0.25">
      <c r="B416" s="34">
        <v>1</v>
      </c>
      <c r="C416" s="34" t="s">
        <v>649</v>
      </c>
      <c r="D416" s="35" t="s">
        <v>650</v>
      </c>
      <c r="E416" s="36">
        <v>43646</v>
      </c>
      <c r="F416" s="37">
        <v>1374.27</v>
      </c>
      <c r="G416" s="38">
        <v>10</v>
      </c>
      <c r="H416" s="39">
        <f t="shared" ref="H416:H432" si="85">+F416/G416</f>
        <v>137.42699999999999</v>
      </c>
      <c r="I416" s="37">
        <v>16099.459000000001</v>
      </c>
      <c r="J416" s="37">
        <v>27316.603999999999</v>
      </c>
      <c r="K416" s="37">
        <v>20780.934000000001</v>
      </c>
      <c r="L416" s="37">
        <v>648.44399999999996</v>
      </c>
      <c r="M416" s="37">
        <v>2403.201</v>
      </c>
      <c r="N416" s="39">
        <f t="shared" ref="N416:N432" si="86">+M416-O416</f>
        <v>330</v>
      </c>
      <c r="O416" s="37">
        <v>2073.201</v>
      </c>
      <c r="P416" s="40">
        <v>40</v>
      </c>
      <c r="Q416" s="40">
        <v>0</v>
      </c>
      <c r="R416" s="41">
        <f t="shared" ref="R416:R432" si="87">SUM(P416:Q416)</f>
        <v>40</v>
      </c>
      <c r="S416" s="42">
        <v>2737</v>
      </c>
    </row>
    <row r="417" spans="2:19" ht="15.75" x14ac:dyDescent="0.25">
      <c r="B417" s="34">
        <f>+B416+1</f>
        <v>2</v>
      </c>
      <c r="C417" s="34" t="s">
        <v>651</v>
      </c>
      <c r="D417" s="35" t="s">
        <v>652</v>
      </c>
      <c r="E417" s="36">
        <v>43646</v>
      </c>
      <c r="F417" s="37">
        <v>5962.5280000000002</v>
      </c>
      <c r="G417" s="38">
        <v>10</v>
      </c>
      <c r="H417" s="39">
        <f t="shared" si="85"/>
        <v>596.25279999999998</v>
      </c>
      <c r="I417" s="37">
        <v>57605.917999999998</v>
      </c>
      <c r="J417" s="37">
        <v>92982.311000000002</v>
      </c>
      <c r="K417" s="37">
        <v>53601.512000000002</v>
      </c>
      <c r="L417" s="37">
        <v>1498.473</v>
      </c>
      <c r="M417" s="37">
        <v>13245.55</v>
      </c>
      <c r="N417" s="39">
        <f t="shared" si="86"/>
        <v>3148.2649999999994</v>
      </c>
      <c r="O417" s="37">
        <v>10097.285</v>
      </c>
      <c r="P417" s="40">
        <f>20+30+30+30</f>
        <v>110</v>
      </c>
      <c r="Q417" s="40">
        <v>0</v>
      </c>
      <c r="R417" s="41">
        <f t="shared" si="87"/>
        <v>110</v>
      </c>
      <c r="S417" s="42">
        <v>9641</v>
      </c>
    </row>
    <row r="418" spans="2:19" ht="15.75" x14ac:dyDescent="0.25">
      <c r="B418" s="34">
        <f t="shared" ref="B418:B432" si="88">+B417+1</f>
        <v>3</v>
      </c>
      <c r="C418" s="34" t="s">
        <v>653</v>
      </c>
      <c r="D418" s="35" t="s">
        <v>654</v>
      </c>
      <c r="E418" s="36">
        <v>43646</v>
      </c>
      <c r="F418" s="37">
        <v>1766.318</v>
      </c>
      <c r="G418" s="38">
        <v>10</v>
      </c>
      <c r="H418" s="39">
        <f t="shared" si="85"/>
        <v>176.6318</v>
      </c>
      <c r="I418" s="37">
        <v>11756.169</v>
      </c>
      <c r="J418" s="37">
        <v>35279.826999999997</v>
      </c>
      <c r="K418" s="37">
        <v>15862.647000000001</v>
      </c>
      <c r="L418" s="37">
        <v>1142.559</v>
      </c>
      <c r="M418" s="37">
        <v>1047.768</v>
      </c>
      <c r="N418" s="39">
        <f t="shared" si="86"/>
        <v>-714.99499999999989</v>
      </c>
      <c r="O418" s="37">
        <v>1762.7629999999999</v>
      </c>
      <c r="P418" s="40">
        <v>10</v>
      </c>
      <c r="Q418" s="40">
        <v>10</v>
      </c>
      <c r="R418" s="41">
        <f t="shared" si="87"/>
        <v>20</v>
      </c>
      <c r="S418" s="42">
        <v>5965</v>
      </c>
    </row>
    <row r="419" spans="2:19" ht="15.75" x14ac:dyDescent="0.25">
      <c r="B419" s="34">
        <f t="shared" si="88"/>
        <v>4</v>
      </c>
      <c r="C419" s="34" t="s">
        <v>655</v>
      </c>
      <c r="D419" s="35" t="s">
        <v>656</v>
      </c>
      <c r="E419" s="36">
        <v>43646</v>
      </c>
      <c r="F419" s="37">
        <v>4841.1329999999998</v>
      </c>
      <c r="G419" s="38">
        <v>10</v>
      </c>
      <c r="H419" s="39">
        <f t="shared" si="85"/>
        <v>484.11329999999998</v>
      </c>
      <c r="I419" s="37">
        <v>17017.112000000001</v>
      </c>
      <c r="J419" s="37">
        <v>29895.175999999999</v>
      </c>
      <c r="K419" s="37">
        <v>12054.025</v>
      </c>
      <c r="L419" s="37">
        <v>20.742000000000001</v>
      </c>
      <c r="M419" s="37">
        <v>278.464</v>
      </c>
      <c r="N419" s="39">
        <f t="shared" si="86"/>
        <v>553.76800000000003</v>
      </c>
      <c r="O419" s="37">
        <v>-275.30399999999997</v>
      </c>
      <c r="P419" s="40">
        <v>0</v>
      </c>
      <c r="Q419" s="40">
        <v>0</v>
      </c>
      <c r="R419" s="41">
        <f t="shared" si="87"/>
        <v>0</v>
      </c>
      <c r="S419" s="42">
        <v>9900</v>
      </c>
    </row>
    <row r="420" spans="2:19" ht="15.75" x14ac:dyDescent="0.25">
      <c r="B420" s="34">
        <f t="shared" si="88"/>
        <v>5</v>
      </c>
      <c r="C420" s="34" t="s">
        <v>657</v>
      </c>
      <c r="D420" s="35" t="s">
        <v>658</v>
      </c>
      <c r="E420" s="36">
        <v>43646</v>
      </c>
      <c r="F420" s="37">
        <v>4381.1909999999998</v>
      </c>
      <c r="G420" s="38">
        <v>10</v>
      </c>
      <c r="H420" s="39">
        <f t="shared" si="85"/>
        <v>438.1191</v>
      </c>
      <c r="I420" s="37">
        <v>70928.414999999994</v>
      </c>
      <c r="J420" s="37">
        <v>125941.425</v>
      </c>
      <c r="K420" s="37">
        <v>40516.525000000001</v>
      </c>
      <c r="L420" s="37">
        <v>3304.1019999999999</v>
      </c>
      <c r="M420" s="37">
        <v>1990.8409999999999</v>
      </c>
      <c r="N420" s="39">
        <f t="shared" si="86"/>
        <v>381.08199999999988</v>
      </c>
      <c r="O420" s="37">
        <v>1609.759</v>
      </c>
      <c r="P420" s="40">
        <v>10</v>
      </c>
      <c r="Q420" s="40">
        <v>0</v>
      </c>
      <c r="R420" s="41">
        <f t="shared" si="87"/>
        <v>10</v>
      </c>
      <c r="S420" s="42">
        <v>9669</v>
      </c>
    </row>
    <row r="421" spans="2:19" ht="15.75" x14ac:dyDescent="0.25">
      <c r="B421" s="34">
        <f t="shared" si="88"/>
        <v>6</v>
      </c>
      <c r="C421" s="34" t="s">
        <v>659</v>
      </c>
      <c r="D421" s="35" t="s">
        <v>660</v>
      </c>
      <c r="E421" s="36">
        <v>43646</v>
      </c>
      <c r="F421" s="37">
        <v>13798.15</v>
      </c>
      <c r="G421" s="38">
        <v>10</v>
      </c>
      <c r="H421" s="39">
        <f t="shared" si="85"/>
        <v>1379.8150000000001</v>
      </c>
      <c r="I421" s="37">
        <v>22262.947</v>
      </c>
      <c r="J421" s="37">
        <v>28965.182000000001</v>
      </c>
      <c r="K421" s="37">
        <v>20798.081999999999</v>
      </c>
      <c r="L421" s="37">
        <v>106.758</v>
      </c>
      <c r="M421" s="37">
        <v>4411.9080000000004</v>
      </c>
      <c r="N421" s="39">
        <f t="shared" si="86"/>
        <v>1587.6100000000006</v>
      </c>
      <c r="O421" s="37">
        <v>2824.2979999999998</v>
      </c>
      <c r="P421" s="40">
        <f>7.5+7.5</f>
        <v>15</v>
      </c>
      <c r="Q421" s="40">
        <v>0</v>
      </c>
      <c r="R421" s="41">
        <f t="shared" si="87"/>
        <v>15</v>
      </c>
      <c r="S421" s="42">
        <v>15380</v>
      </c>
    </row>
    <row r="422" spans="2:19" ht="15.75" x14ac:dyDescent="0.25">
      <c r="B422" s="34">
        <f t="shared" si="88"/>
        <v>7</v>
      </c>
      <c r="C422" s="34" t="s">
        <v>661</v>
      </c>
      <c r="D422" s="35" t="s">
        <v>662</v>
      </c>
      <c r="E422" s="36">
        <v>43646</v>
      </c>
      <c r="F422" s="37">
        <v>501.6</v>
      </c>
      <c r="G422" s="38">
        <v>10</v>
      </c>
      <c r="H422" s="39">
        <f t="shared" si="85"/>
        <v>50.160000000000004</v>
      </c>
      <c r="I422" s="37">
        <v>4331.567</v>
      </c>
      <c r="J422" s="37">
        <v>5066.5630000000001</v>
      </c>
      <c r="K422" s="37">
        <v>4740.4960000000001</v>
      </c>
      <c r="L422" s="37">
        <v>5.3769999999999998</v>
      </c>
      <c r="M422" s="37">
        <v>130.34299999999999</v>
      </c>
      <c r="N422" s="39">
        <f t="shared" si="86"/>
        <v>41.367999999999995</v>
      </c>
      <c r="O422" s="37">
        <v>88.974999999999994</v>
      </c>
      <c r="P422" s="40">
        <v>5</v>
      </c>
      <c r="Q422" s="40">
        <v>0</v>
      </c>
      <c r="R422" s="41">
        <f t="shared" si="87"/>
        <v>5</v>
      </c>
      <c r="S422" s="42">
        <v>2127</v>
      </c>
    </row>
    <row r="423" spans="2:19" ht="15.75" x14ac:dyDescent="0.25">
      <c r="B423" s="34">
        <f t="shared" si="88"/>
        <v>8</v>
      </c>
      <c r="C423" s="34" t="s">
        <v>663</v>
      </c>
      <c r="D423" s="35" t="s">
        <v>664</v>
      </c>
      <c r="E423" s="36">
        <v>43646</v>
      </c>
      <c r="F423" s="37">
        <v>1760</v>
      </c>
      <c r="G423" s="38">
        <v>10</v>
      </c>
      <c r="H423" s="39">
        <f t="shared" si="85"/>
        <v>176</v>
      </c>
      <c r="I423" s="37">
        <v>8231.767683</v>
      </c>
      <c r="J423" s="37">
        <v>13469.541574999999</v>
      </c>
      <c r="K423" s="37">
        <v>3271.37491</v>
      </c>
      <c r="L423" s="37">
        <v>32.719230000000003</v>
      </c>
      <c r="M423" s="37">
        <v>184.16139200000001</v>
      </c>
      <c r="N423" s="39">
        <f t="shared" si="86"/>
        <v>41.79900600000002</v>
      </c>
      <c r="O423" s="37">
        <v>142.36238599999999</v>
      </c>
      <c r="P423" s="40">
        <v>0</v>
      </c>
      <c r="Q423" s="40">
        <v>0</v>
      </c>
      <c r="R423" s="41">
        <f t="shared" si="87"/>
        <v>0</v>
      </c>
      <c r="S423" s="42">
        <v>3035</v>
      </c>
    </row>
    <row r="424" spans="2:19" ht="15.75" x14ac:dyDescent="0.25">
      <c r="B424" s="34">
        <f t="shared" si="88"/>
        <v>9</v>
      </c>
      <c r="C424" s="34" t="s">
        <v>665</v>
      </c>
      <c r="D424" s="35" t="s">
        <v>666</v>
      </c>
      <c r="E424" s="36">
        <v>43646</v>
      </c>
      <c r="F424" s="37">
        <v>4002.739</v>
      </c>
      <c r="G424" s="38">
        <v>10</v>
      </c>
      <c r="H424" s="39">
        <f t="shared" si="85"/>
        <v>400.27390000000003</v>
      </c>
      <c r="I424" s="37">
        <v>12481.446</v>
      </c>
      <c r="J424" s="37">
        <v>23262.396000000001</v>
      </c>
      <c r="K424" s="37">
        <v>11355.918</v>
      </c>
      <c r="L424" s="37">
        <v>607.87300000000005</v>
      </c>
      <c r="M424" s="37">
        <v>1379.9090000000001</v>
      </c>
      <c r="N424" s="39">
        <f t="shared" si="86"/>
        <v>643.49700000000007</v>
      </c>
      <c r="O424" s="37">
        <v>736.41200000000003</v>
      </c>
      <c r="P424" s="40">
        <v>5</v>
      </c>
      <c r="Q424" s="40">
        <v>0</v>
      </c>
      <c r="R424" s="41">
        <f t="shared" si="87"/>
        <v>5</v>
      </c>
      <c r="S424" s="42">
        <v>4026</v>
      </c>
    </row>
    <row r="425" spans="2:19" ht="15.75" x14ac:dyDescent="0.25">
      <c r="B425" s="34">
        <f t="shared" si="88"/>
        <v>10</v>
      </c>
      <c r="C425" s="34" t="s">
        <v>667</v>
      </c>
      <c r="D425" s="35" t="s">
        <v>668</v>
      </c>
      <c r="E425" s="36">
        <v>43646</v>
      </c>
      <c r="F425" s="37">
        <v>2885.3040000000001</v>
      </c>
      <c r="G425" s="38">
        <v>10</v>
      </c>
      <c r="H425" s="39">
        <f t="shared" si="85"/>
        <v>288.53039999999999</v>
      </c>
      <c r="I425" s="37">
        <v>17284.413</v>
      </c>
      <c r="J425" s="37">
        <v>25283.074000000001</v>
      </c>
      <c r="K425" s="37">
        <v>1899.0139999999999</v>
      </c>
      <c r="L425" s="37">
        <v>117.818</v>
      </c>
      <c r="M425" s="37">
        <v>696.46400000000006</v>
      </c>
      <c r="N425" s="39">
        <f t="shared" si="86"/>
        <v>116.58400000000006</v>
      </c>
      <c r="O425" s="37">
        <v>579.88</v>
      </c>
      <c r="P425" s="40">
        <v>0</v>
      </c>
      <c r="Q425" s="40">
        <v>10</v>
      </c>
      <c r="R425" s="41">
        <f t="shared" si="87"/>
        <v>10</v>
      </c>
      <c r="S425" s="42">
        <v>3085</v>
      </c>
    </row>
    <row r="426" spans="2:19" ht="15.75" x14ac:dyDescent="0.25">
      <c r="B426" s="34">
        <f t="shared" si="88"/>
        <v>11</v>
      </c>
      <c r="C426" s="34" t="s">
        <v>669</v>
      </c>
      <c r="D426" s="35" t="s">
        <v>670</v>
      </c>
      <c r="E426" s="36">
        <v>43646</v>
      </c>
      <c r="F426" s="37">
        <v>2008.6129699999999</v>
      </c>
      <c r="G426" s="38">
        <v>10</v>
      </c>
      <c r="H426" s="39">
        <f t="shared" si="85"/>
        <v>200.86129699999998</v>
      </c>
      <c r="I426" s="37">
        <v>19672.638864</v>
      </c>
      <c r="J426" s="37">
        <v>31314.869377999999</v>
      </c>
      <c r="K426" s="37">
        <v>15645.648712</v>
      </c>
      <c r="L426" s="37">
        <v>46.065100999999999</v>
      </c>
      <c r="M426" s="37">
        <v>3676.071441</v>
      </c>
      <c r="N426" s="39">
        <f t="shared" si="86"/>
        <v>1207.4155510000001</v>
      </c>
      <c r="O426" s="37">
        <v>2468.65589</v>
      </c>
      <c r="P426" s="40">
        <v>25</v>
      </c>
      <c r="Q426" s="40">
        <v>0</v>
      </c>
      <c r="R426" s="41">
        <f t="shared" si="87"/>
        <v>25</v>
      </c>
      <c r="S426" s="42">
        <v>3547</v>
      </c>
    </row>
    <row r="427" spans="2:19" ht="15.75" x14ac:dyDescent="0.25">
      <c r="B427" s="34">
        <f t="shared" si="88"/>
        <v>12</v>
      </c>
      <c r="C427" s="34" t="s">
        <v>671</v>
      </c>
      <c r="D427" s="35" t="s">
        <v>672</v>
      </c>
      <c r="E427" s="36">
        <v>43646</v>
      </c>
      <c r="F427" s="37">
        <v>3233.75</v>
      </c>
      <c r="G427" s="38">
        <v>10</v>
      </c>
      <c r="H427" s="39">
        <f t="shared" si="85"/>
        <v>323.375</v>
      </c>
      <c r="I427" s="37">
        <v>94318.417000000001</v>
      </c>
      <c r="J427" s="37">
        <v>125089.21400000001</v>
      </c>
      <c r="K427" s="37">
        <v>48021.398999999998</v>
      </c>
      <c r="L427" s="37">
        <v>0</v>
      </c>
      <c r="M427" s="37">
        <v>12221.215</v>
      </c>
      <c r="N427" s="39">
        <f t="shared" si="86"/>
        <v>1730.9860000000008</v>
      </c>
      <c r="O427" s="37">
        <v>10490.228999999999</v>
      </c>
      <c r="P427" s="40">
        <v>65</v>
      </c>
      <c r="Q427" s="40">
        <v>0</v>
      </c>
      <c r="R427" s="41">
        <f t="shared" si="87"/>
        <v>65</v>
      </c>
      <c r="S427" s="42">
        <v>8567</v>
      </c>
    </row>
    <row r="428" spans="2:19" ht="15.75" x14ac:dyDescent="0.25">
      <c r="B428" s="34">
        <f t="shared" si="88"/>
        <v>13</v>
      </c>
      <c r="C428" s="34" t="s">
        <v>673</v>
      </c>
      <c r="D428" s="35" t="s">
        <v>674</v>
      </c>
      <c r="E428" s="36">
        <v>43646</v>
      </c>
      <c r="F428" s="37">
        <v>5937.0069999999996</v>
      </c>
      <c r="G428" s="38">
        <v>10</v>
      </c>
      <c r="H428" s="39">
        <f t="shared" si="85"/>
        <v>593.70069999999998</v>
      </c>
      <c r="I428" s="37">
        <v>30514.585999999999</v>
      </c>
      <c r="J428" s="37">
        <v>65957.774999999994</v>
      </c>
      <c r="K428" s="37">
        <v>26005.944</v>
      </c>
      <c r="L428" s="37">
        <v>1172.557</v>
      </c>
      <c r="M428" s="37">
        <v>1664.1759999999999</v>
      </c>
      <c r="N428" s="39">
        <f t="shared" si="86"/>
        <v>198.87699999999995</v>
      </c>
      <c r="O428" s="37">
        <v>1465.299</v>
      </c>
      <c r="P428" s="40">
        <v>5</v>
      </c>
      <c r="Q428" s="40">
        <v>0</v>
      </c>
      <c r="R428" s="41">
        <f t="shared" si="87"/>
        <v>5</v>
      </c>
      <c r="S428" s="42">
        <v>11973</v>
      </c>
    </row>
    <row r="429" spans="2:19" ht="15.75" x14ac:dyDescent="0.25">
      <c r="B429" s="34">
        <f t="shared" si="88"/>
        <v>14</v>
      </c>
      <c r="C429" s="34" t="s">
        <v>675</v>
      </c>
      <c r="D429" s="35" t="s">
        <v>676</v>
      </c>
      <c r="E429" s="36">
        <v>43646</v>
      </c>
      <c r="F429" s="37">
        <v>2271.489</v>
      </c>
      <c r="G429" s="38">
        <v>10</v>
      </c>
      <c r="H429" s="39">
        <f t="shared" si="85"/>
        <v>227.1489</v>
      </c>
      <c r="I429" s="37">
        <v>13321.343000000001</v>
      </c>
      <c r="J429" s="37">
        <v>42277.411</v>
      </c>
      <c r="K429" s="37">
        <v>9733.6530000000002</v>
      </c>
      <c r="L429" s="37">
        <v>270.70400000000001</v>
      </c>
      <c r="M429" s="37">
        <v>1323.2339999999999</v>
      </c>
      <c r="N429" s="39">
        <f t="shared" si="86"/>
        <v>532.85699999999997</v>
      </c>
      <c r="O429" s="37">
        <v>790.37699999999995</v>
      </c>
      <c r="P429" s="40">
        <v>0</v>
      </c>
      <c r="Q429" s="40">
        <v>0</v>
      </c>
      <c r="R429" s="41">
        <f t="shared" si="87"/>
        <v>0</v>
      </c>
      <c r="S429" s="42">
        <v>9239</v>
      </c>
    </row>
    <row r="430" spans="2:19" ht="15.75" x14ac:dyDescent="0.25">
      <c r="B430" s="34">
        <f t="shared" si="88"/>
        <v>15</v>
      </c>
      <c r="C430" s="34" t="s">
        <v>677</v>
      </c>
      <c r="D430" s="35" t="s">
        <v>678</v>
      </c>
      <c r="E430" s="36">
        <v>43646</v>
      </c>
      <c r="F430" s="37">
        <v>10634.144</v>
      </c>
      <c r="G430" s="38">
        <v>10</v>
      </c>
      <c r="H430" s="39">
        <f t="shared" si="85"/>
        <v>1063.4144000000001</v>
      </c>
      <c r="I430" s="37">
        <v>12221.54</v>
      </c>
      <c r="J430" s="37">
        <v>40008.402999999998</v>
      </c>
      <c r="K430" s="37">
        <v>3858.4549999999999</v>
      </c>
      <c r="L430" s="37">
        <v>177.066</v>
      </c>
      <c r="M430" s="37">
        <v>-412.39600000000002</v>
      </c>
      <c r="N430" s="39">
        <f t="shared" si="86"/>
        <v>-994.50199999999995</v>
      </c>
      <c r="O430" s="37">
        <v>582.10599999999999</v>
      </c>
      <c r="P430" s="40">
        <v>0</v>
      </c>
      <c r="Q430" s="40">
        <v>0</v>
      </c>
      <c r="R430" s="41">
        <f t="shared" si="87"/>
        <v>0</v>
      </c>
      <c r="S430" s="42">
        <v>11802</v>
      </c>
    </row>
    <row r="431" spans="2:19" ht="15.75" x14ac:dyDescent="0.25">
      <c r="B431" s="34">
        <f t="shared" si="88"/>
        <v>16</v>
      </c>
      <c r="C431" s="34" t="s">
        <v>679</v>
      </c>
      <c r="D431" s="35" t="s">
        <v>680</v>
      </c>
      <c r="E431" s="36">
        <v>43646</v>
      </c>
      <c r="F431" s="37">
        <v>250</v>
      </c>
      <c r="G431" s="38">
        <v>10</v>
      </c>
      <c r="H431" s="39">
        <f t="shared" si="85"/>
        <v>25</v>
      </c>
      <c r="I431" s="37">
        <v>188.14843300000001</v>
      </c>
      <c r="J431" s="37">
        <v>608.47440900000004</v>
      </c>
      <c r="K431" s="37">
        <v>879.31207199999994</v>
      </c>
      <c r="L431" s="37">
        <v>13.924828</v>
      </c>
      <c r="M431" s="37">
        <v>-39.152574999999999</v>
      </c>
      <c r="N431" s="39">
        <f t="shared" si="86"/>
        <v>-9.3815209999999993</v>
      </c>
      <c r="O431" s="37">
        <v>-29.771053999999999</v>
      </c>
      <c r="P431" s="40">
        <v>0</v>
      </c>
      <c r="Q431" s="40">
        <v>0</v>
      </c>
      <c r="R431" s="41">
        <f t="shared" si="87"/>
        <v>0</v>
      </c>
      <c r="S431" s="42">
        <v>1106</v>
      </c>
    </row>
    <row r="432" spans="2:19" ht="15.75" x14ac:dyDescent="0.25">
      <c r="B432" s="34">
        <f t="shared" si="88"/>
        <v>17</v>
      </c>
      <c r="C432" s="34" t="s">
        <v>681</v>
      </c>
      <c r="D432" s="35" t="s">
        <v>682</v>
      </c>
      <c r="E432" s="36">
        <v>43646</v>
      </c>
      <c r="F432" s="37">
        <v>997.18100000000004</v>
      </c>
      <c r="G432" s="38">
        <v>10</v>
      </c>
      <c r="H432" s="39">
        <f t="shared" si="85"/>
        <v>99.718100000000007</v>
      </c>
      <c r="I432" s="37">
        <v>2618.9059999999999</v>
      </c>
      <c r="J432" s="37">
        <v>3610.1</v>
      </c>
      <c r="K432" s="37">
        <v>3468.4110000000001</v>
      </c>
      <c r="L432" s="37">
        <v>50.62</v>
      </c>
      <c r="M432" s="37">
        <v>295.31799999999998</v>
      </c>
      <c r="N432" s="39">
        <f t="shared" si="86"/>
        <v>81.795999999999992</v>
      </c>
      <c r="O432" s="37">
        <v>213.52199999999999</v>
      </c>
      <c r="P432" s="40">
        <v>0</v>
      </c>
      <c r="Q432" s="40">
        <v>0</v>
      </c>
      <c r="R432" s="41">
        <f t="shared" si="87"/>
        <v>0</v>
      </c>
      <c r="S432" s="42">
        <v>2712</v>
      </c>
    </row>
    <row r="434" spans="2:19" ht="15.75" x14ac:dyDescent="0.25">
      <c r="B434" s="76"/>
      <c r="C434" s="76"/>
      <c r="D434" s="77"/>
      <c r="E434" s="64"/>
      <c r="F434" s="78"/>
      <c r="G434" s="43"/>
      <c r="H434" s="79"/>
      <c r="I434" s="78"/>
      <c r="J434" s="78"/>
      <c r="K434" s="78"/>
      <c r="L434" s="78"/>
      <c r="M434" s="78"/>
      <c r="N434" s="79"/>
      <c r="O434" s="78"/>
      <c r="P434" s="80"/>
      <c r="Q434" s="80"/>
      <c r="R434" s="81"/>
      <c r="S434" s="82"/>
    </row>
    <row r="435" spans="2:19" ht="18.75" x14ac:dyDescent="0.3">
      <c r="B435" s="29"/>
      <c r="C435" s="29"/>
      <c r="D435" s="56" t="s">
        <v>43</v>
      </c>
      <c r="E435" s="29"/>
      <c r="F435" s="29"/>
      <c r="G435" s="43"/>
      <c r="H435" s="44"/>
      <c r="I435" s="31"/>
      <c r="J435" s="31"/>
      <c r="K435" s="31"/>
      <c r="L435" s="31"/>
      <c r="M435" s="31"/>
      <c r="N435" s="45"/>
      <c r="O435" s="31"/>
      <c r="P435" s="31"/>
      <c r="Q435" s="31"/>
      <c r="R435" s="45"/>
      <c r="S435" s="31"/>
    </row>
    <row r="436" spans="2:19" ht="15.75" x14ac:dyDescent="0.25">
      <c r="B436" s="34">
        <v>1</v>
      </c>
      <c r="C436" s="34" t="s">
        <v>683</v>
      </c>
      <c r="D436" s="47" t="s">
        <v>684</v>
      </c>
      <c r="E436" s="36">
        <v>43646</v>
      </c>
      <c r="F436" s="37">
        <v>982.36599999999999</v>
      </c>
      <c r="G436" s="38">
        <v>10</v>
      </c>
      <c r="H436" s="39">
        <f>+F436/G436</f>
        <v>98.236599999999996</v>
      </c>
      <c r="I436" s="37"/>
      <c r="J436" s="37"/>
      <c r="K436" s="37"/>
      <c r="L436" s="37"/>
      <c r="M436" s="37">
        <v>131.88300000000001</v>
      </c>
      <c r="N436" s="39">
        <f>+M436-O436</f>
        <v>-4.1639999999999873</v>
      </c>
      <c r="O436" s="37">
        <v>136.047</v>
      </c>
      <c r="P436" s="40">
        <v>0</v>
      </c>
      <c r="Q436" s="40">
        <v>0</v>
      </c>
      <c r="R436" s="41">
        <f>SUM(P436:Q436)</f>
        <v>0</v>
      </c>
      <c r="S436" s="42"/>
    </row>
    <row r="437" spans="2:19" ht="15.75" x14ac:dyDescent="0.25">
      <c r="B437" s="34">
        <f>+B436+1</f>
        <v>2</v>
      </c>
      <c r="C437" s="34" t="s">
        <v>685</v>
      </c>
      <c r="D437" s="35" t="s">
        <v>686</v>
      </c>
      <c r="E437" s="36">
        <v>43646</v>
      </c>
      <c r="F437" s="37">
        <v>948.39980000000003</v>
      </c>
      <c r="G437" s="38">
        <v>10</v>
      </c>
      <c r="H437" s="39">
        <f>+F437/G437</f>
        <v>94.839979999999997</v>
      </c>
      <c r="I437" s="37">
        <v>-1107.0862420000001</v>
      </c>
      <c r="J437" s="37">
        <v>5269.2716559999999</v>
      </c>
      <c r="K437" s="37">
        <v>1593.516615</v>
      </c>
      <c r="L437" s="37">
        <v>608.54556500000001</v>
      </c>
      <c r="M437" s="37">
        <v>609.78051900000003</v>
      </c>
      <c r="N437" s="39">
        <f>+M437-O437</f>
        <v>-17.764159999999947</v>
      </c>
      <c r="O437" s="37">
        <v>627.54467899999997</v>
      </c>
      <c r="P437" s="40">
        <v>0</v>
      </c>
      <c r="Q437" s="40">
        <v>0</v>
      </c>
      <c r="R437" s="41">
        <f>SUM(P437:Q437)</f>
        <v>0</v>
      </c>
      <c r="S437" s="42">
        <v>689</v>
      </c>
    </row>
    <row r="438" spans="2:19" ht="15.75" x14ac:dyDescent="0.25">
      <c r="B438" s="34">
        <f>+B437+1</f>
        <v>3</v>
      </c>
      <c r="C438" s="34" t="s">
        <v>687</v>
      </c>
      <c r="D438" s="35" t="s">
        <v>688</v>
      </c>
      <c r="E438" s="36">
        <v>43646</v>
      </c>
      <c r="F438" s="37"/>
      <c r="G438" s="38">
        <v>10</v>
      </c>
      <c r="H438" s="39">
        <f>+F438/G438</f>
        <v>0</v>
      </c>
      <c r="I438" s="37"/>
      <c r="J438" s="37"/>
      <c r="K438" s="37"/>
      <c r="L438" s="37"/>
      <c r="M438" s="37"/>
      <c r="N438" s="39">
        <f>+M438-O438</f>
        <v>0</v>
      </c>
      <c r="O438" s="37"/>
      <c r="P438" s="40"/>
      <c r="Q438" s="40"/>
      <c r="R438" s="41">
        <f>SUM(P438:Q438)</f>
        <v>0</v>
      </c>
      <c r="S438" s="42"/>
    </row>
    <row r="439" spans="2:19" ht="15.75" x14ac:dyDescent="0.25">
      <c r="B439" s="76"/>
      <c r="C439" s="76"/>
      <c r="D439" s="77"/>
      <c r="E439" s="64"/>
      <c r="F439" s="78"/>
      <c r="G439" s="43"/>
      <c r="H439" s="79"/>
      <c r="I439" s="78"/>
      <c r="J439" s="78"/>
      <c r="K439" s="78"/>
      <c r="L439" s="78"/>
      <c r="M439" s="78"/>
      <c r="N439" s="79"/>
      <c r="O439" s="78"/>
      <c r="P439" s="80"/>
      <c r="Q439" s="80"/>
      <c r="R439" s="81"/>
      <c r="S439" s="82"/>
    </row>
    <row r="440" spans="2:19" ht="15.75" x14ac:dyDescent="0.25">
      <c r="B440" s="34">
        <f>COUNT(B416:B439)</f>
        <v>20</v>
      </c>
      <c r="C440" s="34"/>
      <c r="D440" s="48"/>
      <c r="E440" s="48"/>
      <c r="F440" s="48">
        <f>SUM(F416:F439)</f>
        <v>68536.182769999985</v>
      </c>
      <c r="G440" s="49"/>
      <c r="H440" s="50">
        <f t="shared" ref="H440:O440" si="89">SUM(H416:H439)</f>
        <v>6853.6182770000005</v>
      </c>
      <c r="I440" s="48">
        <f t="shared" si="89"/>
        <v>409747.70673800004</v>
      </c>
      <c r="J440" s="48">
        <f t="shared" si="89"/>
        <v>721597.61801800015</v>
      </c>
      <c r="K440" s="48">
        <f t="shared" si="89"/>
        <v>294086.86730899999</v>
      </c>
      <c r="L440" s="48">
        <f t="shared" si="89"/>
        <v>9824.3477240000011</v>
      </c>
      <c r="M440" s="48">
        <f t="shared" si="89"/>
        <v>45238.738776999999</v>
      </c>
      <c r="N440" s="51">
        <f t="shared" si="89"/>
        <v>8855.0978759999998</v>
      </c>
      <c r="O440" s="48">
        <f t="shared" si="89"/>
        <v>36383.640900999999</v>
      </c>
      <c r="P440" s="52"/>
      <c r="Q440" s="52"/>
      <c r="R440" s="53"/>
      <c r="S440" s="54">
        <f>SUM(S416:S439)</f>
        <v>115200</v>
      </c>
    </row>
    <row r="441" spans="2:19" ht="15.75" x14ac:dyDescent="0.25">
      <c r="B441" s="76"/>
      <c r="C441" s="76"/>
      <c r="D441" s="77"/>
      <c r="E441" s="64"/>
      <c r="F441" s="78"/>
      <c r="G441" s="43"/>
      <c r="H441" s="79"/>
      <c r="I441" s="78"/>
      <c r="J441" s="78"/>
      <c r="K441" s="78"/>
      <c r="L441" s="78"/>
      <c r="M441" s="78"/>
      <c r="N441" s="79"/>
      <c r="O441" s="78"/>
      <c r="P441" s="80"/>
      <c r="Q441" s="80"/>
      <c r="R441" s="81"/>
      <c r="S441" s="82"/>
    </row>
    <row r="442" spans="2:19" ht="15.75" x14ac:dyDescent="0.25">
      <c r="B442" s="76"/>
      <c r="C442" s="76"/>
      <c r="D442" s="77"/>
      <c r="E442" s="64"/>
      <c r="F442" s="78"/>
      <c r="G442" s="43"/>
      <c r="H442" s="79"/>
      <c r="I442" s="78"/>
      <c r="J442" s="78"/>
      <c r="K442" s="78"/>
      <c r="L442" s="78"/>
      <c r="M442" s="78"/>
      <c r="N442" s="79"/>
      <c r="O442" s="78"/>
      <c r="P442" s="80"/>
      <c r="Q442" s="80"/>
      <c r="R442" s="81"/>
      <c r="S442" s="82"/>
    </row>
    <row r="443" spans="2:19" ht="18.75" x14ac:dyDescent="0.3">
      <c r="B443" s="29"/>
      <c r="C443" s="33">
        <v>16</v>
      </c>
      <c r="D443" s="33" t="s">
        <v>689</v>
      </c>
      <c r="E443" s="61"/>
      <c r="F443" s="61"/>
      <c r="G443" s="43"/>
      <c r="H443" s="44"/>
      <c r="I443" s="31"/>
      <c r="J443" s="31"/>
      <c r="K443" s="31"/>
      <c r="L443" s="31"/>
      <c r="M443" s="31"/>
      <c r="N443" s="45"/>
      <c r="O443" s="31"/>
      <c r="P443" s="31"/>
      <c r="Q443" s="31"/>
      <c r="R443" s="45"/>
      <c r="S443" s="31"/>
    </row>
    <row r="444" spans="2:19" ht="15.75" x14ac:dyDescent="0.25">
      <c r="B444" s="76"/>
      <c r="C444" s="76"/>
      <c r="D444" s="77"/>
      <c r="E444" s="64"/>
      <c r="F444" s="78"/>
      <c r="G444" s="43"/>
      <c r="H444" s="79"/>
      <c r="I444" s="78"/>
      <c r="J444" s="78"/>
      <c r="K444" s="78"/>
      <c r="L444" s="78"/>
      <c r="M444" s="78"/>
      <c r="N444" s="79"/>
      <c r="O444" s="78"/>
      <c r="P444" s="80"/>
      <c r="Q444" s="80"/>
      <c r="R444" s="81"/>
      <c r="S444" s="82"/>
    </row>
    <row r="445" spans="2:19" ht="15.75" x14ac:dyDescent="0.25">
      <c r="B445" s="34">
        <v>1</v>
      </c>
      <c r="C445" s="34" t="s">
        <v>690</v>
      </c>
      <c r="D445" s="35" t="s">
        <v>691</v>
      </c>
      <c r="E445" s="36">
        <v>43646</v>
      </c>
      <c r="F445" s="37">
        <v>48.073639999999997</v>
      </c>
      <c r="G445" s="38">
        <v>10</v>
      </c>
      <c r="H445" s="39">
        <f>+F445/G445</f>
        <v>4.8073639999999997</v>
      </c>
      <c r="I445" s="37">
        <v>1262.992577</v>
      </c>
      <c r="J445" s="37">
        <v>1866.5654970000001</v>
      </c>
      <c r="K445" s="37">
        <v>1070.1733389999999</v>
      </c>
      <c r="L445" s="37">
        <v>46.129722000000001</v>
      </c>
      <c r="M445" s="37">
        <v>-58.520781999999997</v>
      </c>
      <c r="N445" s="39">
        <f>+M445-O445</f>
        <v>-20.253481999999998</v>
      </c>
      <c r="O445" s="37">
        <v>-38.267299999999999</v>
      </c>
      <c r="P445" s="40">
        <v>0</v>
      </c>
      <c r="Q445" s="40">
        <v>0</v>
      </c>
      <c r="R445" s="41">
        <f>SUM(P445:Q445)</f>
        <v>0</v>
      </c>
      <c r="S445" s="42">
        <v>1138</v>
      </c>
    </row>
    <row r="446" spans="2:19" ht="15.75" x14ac:dyDescent="0.25">
      <c r="B446" s="34">
        <f>+B445+1</f>
        <v>2</v>
      </c>
      <c r="C446" s="34" t="s">
        <v>692</v>
      </c>
      <c r="D446" s="35" t="s">
        <v>693</v>
      </c>
      <c r="E446" s="36">
        <v>43830</v>
      </c>
      <c r="F446" s="37">
        <v>2554.9380000000001</v>
      </c>
      <c r="G446" s="38">
        <v>10</v>
      </c>
      <c r="H446" s="39">
        <f>+F446/G446</f>
        <v>255.49380000000002</v>
      </c>
      <c r="I446" s="37">
        <v>18290.855</v>
      </c>
      <c r="J446" s="37">
        <v>40435.614000000001</v>
      </c>
      <c r="K446" s="37">
        <v>51974.896000000001</v>
      </c>
      <c r="L446" s="37">
        <v>202.553</v>
      </c>
      <c r="M446" s="37">
        <v>18284.917000000001</v>
      </c>
      <c r="N446" s="39">
        <f>+M446-O446</f>
        <v>5395.6880000000019</v>
      </c>
      <c r="O446" s="37">
        <v>12889.228999999999</v>
      </c>
      <c r="P446" s="40">
        <f>130+130+230</f>
        <v>490</v>
      </c>
      <c r="Q446" s="40">
        <v>0</v>
      </c>
      <c r="R446" s="41">
        <f>SUM(P446:Q446)</f>
        <v>490</v>
      </c>
      <c r="S446" s="42">
        <v>3083</v>
      </c>
    </row>
    <row r="447" spans="2:19" ht="15.75" x14ac:dyDescent="0.25">
      <c r="B447" s="34">
        <f>+B446+1</f>
        <v>3</v>
      </c>
      <c r="C447" s="34" t="s">
        <v>694</v>
      </c>
      <c r="D447" s="35" t="s">
        <v>695</v>
      </c>
      <c r="E447" s="36">
        <v>43830</v>
      </c>
      <c r="F447" s="37">
        <v>615.803</v>
      </c>
      <c r="G447" s="38">
        <v>10</v>
      </c>
      <c r="H447" s="39">
        <f>+F447/G447</f>
        <v>61.580300000000001</v>
      </c>
      <c r="I447" s="37">
        <v>10650.883</v>
      </c>
      <c r="J447" s="37">
        <v>16357.821</v>
      </c>
      <c r="K447" s="37">
        <v>13334.498</v>
      </c>
      <c r="L447" s="37">
        <v>48.807000000000002</v>
      </c>
      <c r="M447" s="37">
        <v>-2492.9899999999998</v>
      </c>
      <c r="N447" s="39">
        <f>+M447-O447</f>
        <v>-512.99099999999976</v>
      </c>
      <c r="O447" s="37">
        <v>-1979.999</v>
      </c>
      <c r="P447" s="40">
        <v>0</v>
      </c>
      <c r="Q447" s="40">
        <v>0</v>
      </c>
      <c r="R447" s="41">
        <f>SUM(P447:Q447)</f>
        <v>0</v>
      </c>
      <c r="S447" s="42">
        <v>1523</v>
      </c>
    </row>
    <row r="448" spans="2:19" ht="15.75" x14ac:dyDescent="0.25">
      <c r="B448" s="76"/>
      <c r="C448" s="76"/>
      <c r="D448" s="77"/>
      <c r="E448" s="64"/>
      <c r="F448" s="78"/>
      <c r="G448" s="43"/>
      <c r="H448" s="79"/>
      <c r="I448" s="78"/>
      <c r="J448" s="78"/>
      <c r="K448" s="78"/>
      <c r="L448" s="78"/>
      <c r="M448" s="78"/>
      <c r="N448" s="79"/>
      <c r="O448" s="78"/>
      <c r="P448" s="80"/>
      <c r="Q448" s="80"/>
      <c r="R448" s="81"/>
      <c r="S448" s="82"/>
    </row>
    <row r="449" spans="2:19" ht="15.75" x14ac:dyDescent="0.25">
      <c r="B449" s="34">
        <f>COUNT(B445:B448)</f>
        <v>3</v>
      </c>
      <c r="C449" s="34"/>
      <c r="D449" s="48"/>
      <c r="E449" s="48"/>
      <c r="F449" s="48">
        <f>SUM(F445:F448)</f>
        <v>3218.8146400000001</v>
      </c>
      <c r="G449" s="49"/>
      <c r="H449" s="50">
        <f t="shared" ref="H449:O449" si="90">SUM(H445:H448)</f>
        <v>321.88146400000005</v>
      </c>
      <c r="I449" s="48">
        <f t="shared" si="90"/>
        <v>30204.730577000002</v>
      </c>
      <c r="J449" s="48">
        <f t="shared" si="90"/>
        <v>58660.000497000001</v>
      </c>
      <c r="K449" s="48">
        <f t="shared" si="90"/>
        <v>66379.567339000001</v>
      </c>
      <c r="L449" s="48">
        <f t="shared" si="90"/>
        <v>297.48972200000003</v>
      </c>
      <c r="M449" s="48">
        <f t="shared" si="90"/>
        <v>15733.406218000002</v>
      </c>
      <c r="N449" s="51">
        <f t="shared" si="90"/>
        <v>4862.4435180000019</v>
      </c>
      <c r="O449" s="48">
        <f t="shared" si="90"/>
        <v>10870.9627</v>
      </c>
      <c r="P449" s="52"/>
      <c r="Q449" s="52"/>
      <c r="R449" s="53"/>
      <c r="S449" s="54">
        <f>SUM(S445:S448)</f>
        <v>5744</v>
      </c>
    </row>
    <row r="450" spans="2:19" ht="15.75" x14ac:dyDescent="0.25">
      <c r="B450" s="76"/>
      <c r="C450" s="76"/>
      <c r="D450" s="77"/>
      <c r="E450" s="64"/>
      <c r="F450" s="78"/>
      <c r="G450" s="43"/>
      <c r="H450" s="79"/>
      <c r="I450" s="78"/>
      <c r="J450" s="78"/>
      <c r="K450" s="78"/>
      <c r="L450" s="78"/>
      <c r="M450" s="78"/>
      <c r="N450" s="79"/>
      <c r="O450" s="78"/>
      <c r="P450" s="80"/>
      <c r="Q450" s="80"/>
      <c r="R450" s="81"/>
      <c r="S450" s="82"/>
    </row>
    <row r="451" spans="2:19" ht="15.75" x14ac:dyDescent="0.25">
      <c r="B451" s="76"/>
      <c r="C451" s="76"/>
      <c r="D451" s="77"/>
      <c r="E451" s="64"/>
      <c r="F451" s="78"/>
      <c r="G451" s="43"/>
      <c r="H451" s="79"/>
      <c r="I451" s="78"/>
      <c r="J451" s="78"/>
      <c r="K451" s="78"/>
      <c r="L451" s="78"/>
      <c r="M451" s="78"/>
      <c r="N451" s="79"/>
      <c r="O451" s="78"/>
      <c r="P451" s="80"/>
      <c r="Q451" s="80"/>
      <c r="R451" s="81"/>
      <c r="S451" s="82"/>
    </row>
    <row r="452" spans="2:19" ht="18.75" x14ac:dyDescent="0.3">
      <c r="B452" s="29"/>
      <c r="C452" s="33">
        <v>17</v>
      </c>
      <c r="D452" s="33" t="s">
        <v>696</v>
      </c>
      <c r="E452" s="61"/>
      <c r="F452" s="61"/>
      <c r="G452" s="43"/>
      <c r="H452" s="44"/>
      <c r="I452" s="31"/>
      <c r="J452" s="31"/>
      <c r="K452" s="31"/>
      <c r="L452" s="31"/>
      <c r="M452" s="31"/>
      <c r="N452" s="45"/>
      <c r="O452" s="31"/>
      <c r="P452" s="31"/>
      <c r="Q452" s="31"/>
      <c r="R452" s="45"/>
      <c r="S452" s="31"/>
    </row>
    <row r="453" spans="2:19" ht="15.75" x14ac:dyDescent="0.25">
      <c r="B453" s="76"/>
      <c r="C453" s="76"/>
      <c r="D453" s="77"/>
      <c r="E453" s="64"/>
      <c r="F453" s="78"/>
      <c r="G453" s="43"/>
      <c r="H453" s="79"/>
      <c r="I453" s="78"/>
      <c r="J453" s="78"/>
      <c r="K453" s="78"/>
      <c r="L453" s="78"/>
      <c r="M453" s="78"/>
      <c r="N453" s="79"/>
      <c r="O453" s="78"/>
      <c r="P453" s="80"/>
      <c r="Q453" s="80"/>
      <c r="R453" s="81"/>
      <c r="S453" s="82"/>
    </row>
    <row r="454" spans="2:19" ht="15.75" x14ac:dyDescent="0.25">
      <c r="B454" s="60">
        <v>1</v>
      </c>
      <c r="C454" s="60" t="s">
        <v>697</v>
      </c>
      <c r="D454" s="35" t="s">
        <v>698</v>
      </c>
      <c r="E454" s="36">
        <v>43646</v>
      </c>
      <c r="F454" s="37">
        <v>1066.163</v>
      </c>
      <c r="G454" s="38">
        <v>10</v>
      </c>
      <c r="H454" s="39">
        <f>+F454/G454</f>
        <v>106.6163</v>
      </c>
      <c r="I454" s="37">
        <v>33658.093999999997</v>
      </c>
      <c r="J454" s="37">
        <v>103849.65399999999</v>
      </c>
      <c r="K454" s="37">
        <v>176754.54199999999</v>
      </c>
      <c r="L454" s="37">
        <v>6623.6760000000004</v>
      </c>
      <c r="M454" s="37">
        <v>-7471.6049999999996</v>
      </c>
      <c r="N454" s="39">
        <f>+M454-O454</f>
        <v>-2086.366</v>
      </c>
      <c r="O454" s="37">
        <v>-5385.2389999999996</v>
      </c>
      <c r="P454" s="40">
        <v>0</v>
      </c>
      <c r="Q454" s="40">
        <v>0</v>
      </c>
      <c r="R454" s="41">
        <f>SUM(P454:Q454)</f>
        <v>0</v>
      </c>
      <c r="S454" s="42">
        <v>6996</v>
      </c>
    </row>
    <row r="455" spans="2:19" ht="15.75" x14ac:dyDescent="0.25">
      <c r="B455" s="60">
        <f>+B454+1</f>
        <v>2</v>
      </c>
      <c r="C455" s="60" t="s">
        <v>699</v>
      </c>
      <c r="D455" s="35" t="s">
        <v>700</v>
      </c>
      <c r="E455" s="36">
        <v>43646</v>
      </c>
      <c r="F455" s="37">
        <v>53298.847000000002</v>
      </c>
      <c r="G455" s="38">
        <v>10</v>
      </c>
      <c r="H455" s="39">
        <f>+F455/G455</f>
        <v>5329.8847000000005</v>
      </c>
      <c r="I455" s="37">
        <v>28218.227999999999</v>
      </c>
      <c r="J455" s="37">
        <v>130142.717</v>
      </c>
      <c r="K455" s="37">
        <v>197830.72</v>
      </c>
      <c r="L455" s="37">
        <v>3069.5569999999998</v>
      </c>
      <c r="M455" s="37">
        <v>-2237.7510000000002</v>
      </c>
      <c r="N455" s="39">
        <f>+M455-O455</f>
        <v>-554.05100000000016</v>
      </c>
      <c r="O455" s="37">
        <v>-1683.7</v>
      </c>
      <c r="P455" s="40">
        <v>0</v>
      </c>
      <c r="Q455" s="40">
        <v>0</v>
      </c>
      <c r="R455" s="41">
        <f>SUM(P455:Q455)</f>
        <v>0</v>
      </c>
      <c r="S455" s="42">
        <v>17113</v>
      </c>
    </row>
    <row r="456" spans="2:19" ht="15.75" x14ac:dyDescent="0.25">
      <c r="B456" s="60">
        <f>+B455+1</f>
        <v>3</v>
      </c>
      <c r="C456" s="60" t="s">
        <v>701</v>
      </c>
      <c r="D456" s="35" t="s">
        <v>702</v>
      </c>
      <c r="E456" s="36">
        <v>43646</v>
      </c>
      <c r="F456" s="37">
        <v>799.66600000000005</v>
      </c>
      <c r="G456" s="38">
        <v>10</v>
      </c>
      <c r="H456" s="39">
        <f>+F456/G456</f>
        <v>79.9666</v>
      </c>
      <c r="I456" s="37">
        <v>33873.468999999997</v>
      </c>
      <c r="J456" s="37">
        <v>76167.350000000006</v>
      </c>
      <c r="K456" s="37">
        <v>160906.19699999999</v>
      </c>
      <c r="L456" s="37">
        <v>5285.7489999999998</v>
      </c>
      <c r="M456" s="37">
        <v>-11029.011</v>
      </c>
      <c r="N456" s="39">
        <f>+M456-O456</f>
        <v>-2336.5840000000007</v>
      </c>
      <c r="O456" s="37">
        <v>-8692.4269999999997</v>
      </c>
      <c r="P456" s="40">
        <v>0</v>
      </c>
      <c r="Q456" s="40">
        <v>0</v>
      </c>
      <c r="R456" s="41">
        <f>SUM(P456:Q456)</f>
        <v>0</v>
      </c>
      <c r="S456" s="42">
        <v>5891</v>
      </c>
    </row>
    <row r="457" spans="2:19" ht="15.75" x14ac:dyDescent="0.25">
      <c r="B457" s="60">
        <f>+B456+1</f>
        <v>4</v>
      </c>
      <c r="C457" s="60" t="s">
        <v>703</v>
      </c>
      <c r="D457" s="35" t="s">
        <v>704</v>
      </c>
      <c r="E457" s="36">
        <v>43646</v>
      </c>
      <c r="F457" s="37">
        <v>2940</v>
      </c>
      <c r="G457" s="38">
        <v>10</v>
      </c>
      <c r="H457" s="39">
        <f>+F457/G457</f>
        <v>294</v>
      </c>
      <c r="I457" s="37">
        <v>3509.241</v>
      </c>
      <c r="J457" s="37">
        <v>42880.622000000003</v>
      </c>
      <c r="K457" s="37">
        <v>115740.97100000001</v>
      </c>
      <c r="L457" s="37">
        <v>1442.624</v>
      </c>
      <c r="M457" s="37">
        <v>-5245.1080000000002</v>
      </c>
      <c r="N457" s="39">
        <f>+M457-O457</f>
        <v>576.01499999999942</v>
      </c>
      <c r="O457" s="37">
        <v>-5821.1229999999996</v>
      </c>
      <c r="P457" s="40">
        <v>0</v>
      </c>
      <c r="Q457" s="40">
        <v>0</v>
      </c>
      <c r="R457" s="41">
        <f>SUM(P457:Q457)</f>
        <v>0</v>
      </c>
      <c r="S457" s="42">
        <v>8247</v>
      </c>
    </row>
    <row r="458" spans="2:19" ht="15.75" x14ac:dyDescent="0.25">
      <c r="B458" s="76"/>
      <c r="C458" s="76"/>
      <c r="D458" s="77"/>
      <c r="E458" s="64"/>
      <c r="F458" s="78"/>
      <c r="G458" s="43"/>
      <c r="H458" s="79"/>
      <c r="I458" s="78"/>
      <c r="J458" s="78"/>
      <c r="K458" s="78"/>
      <c r="L458" s="78"/>
      <c r="M458" s="78"/>
      <c r="N458" s="79"/>
      <c r="O458" s="78"/>
      <c r="P458" s="80"/>
      <c r="Q458" s="80"/>
      <c r="R458" s="81"/>
      <c r="S458" s="82"/>
    </row>
    <row r="459" spans="2:19" ht="15.75" x14ac:dyDescent="0.25">
      <c r="B459" s="34">
        <f>COUNT(B454:B458)</f>
        <v>4</v>
      </c>
      <c r="C459" s="34"/>
      <c r="D459" s="48"/>
      <c r="E459" s="48"/>
      <c r="F459" s="48">
        <f>SUM(F454:F458)</f>
        <v>58104.675999999999</v>
      </c>
      <c r="G459" s="49"/>
      <c r="H459" s="50">
        <f t="shared" ref="H459:O459" si="91">SUM(H454:H458)</f>
        <v>5810.4675999999999</v>
      </c>
      <c r="I459" s="48">
        <f t="shared" si="91"/>
        <v>99259.031999999992</v>
      </c>
      <c r="J459" s="48">
        <f t="shared" si="91"/>
        <v>353040.34299999999</v>
      </c>
      <c r="K459" s="48">
        <f t="shared" si="91"/>
        <v>651232.43000000005</v>
      </c>
      <c r="L459" s="48">
        <f t="shared" si="91"/>
        <v>16421.606</v>
      </c>
      <c r="M459" s="48">
        <f t="shared" si="91"/>
        <v>-25983.474999999999</v>
      </c>
      <c r="N459" s="51">
        <f t="shared" si="91"/>
        <v>-4400.9860000000017</v>
      </c>
      <c r="O459" s="48">
        <f t="shared" si="91"/>
        <v>-21582.488999999998</v>
      </c>
      <c r="P459" s="52"/>
      <c r="Q459" s="52"/>
      <c r="R459" s="53"/>
      <c r="S459" s="54">
        <f>SUM(S454:S458)</f>
        <v>38247</v>
      </c>
    </row>
    <row r="460" spans="2:19" ht="15.75" x14ac:dyDescent="0.25">
      <c r="B460" s="76"/>
      <c r="C460" s="76"/>
      <c r="D460" s="77"/>
      <c r="E460" s="64"/>
      <c r="F460" s="78"/>
      <c r="G460" s="43"/>
      <c r="H460" s="79"/>
      <c r="I460" s="78"/>
      <c r="J460" s="78"/>
      <c r="K460" s="78"/>
      <c r="L460" s="78"/>
      <c r="M460" s="78"/>
      <c r="N460" s="79"/>
      <c r="O460" s="78"/>
      <c r="P460" s="80"/>
      <c r="Q460" s="80"/>
      <c r="R460" s="81"/>
      <c r="S460" s="82"/>
    </row>
    <row r="461" spans="2:19" ht="15.75" x14ac:dyDescent="0.25">
      <c r="B461" s="76"/>
      <c r="C461" s="76"/>
      <c r="D461" s="77"/>
      <c r="E461" s="64"/>
      <c r="F461" s="78"/>
      <c r="G461" s="43"/>
      <c r="H461" s="79"/>
      <c r="I461" s="78"/>
      <c r="J461" s="78"/>
      <c r="K461" s="78"/>
      <c r="L461" s="78"/>
      <c r="M461" s="78"/>
      <c r="N461" s="79"/>
      <c r="O461" s="78"/>
      <c r="P461" s="80"/>
      <c r="Q461" s="80"/>
      <c r="R461" s="81"/>
      <c r="S461" s="82"/>
    </row>
    <row r="462" spans="2:19" ht="18.75" x14ac:dyDescent="0.3">
      <c r="B462" s="29"/>
      <c r="C462" s="33">
        <v>18</v>
      </c>
      <c r="D462" s="33" t="s">
        <v>705</v>
      </c>
      <c r="E462" s="61"/>
      <c r="F462" s="61"/>
      <c r="G462" s="43"/>
      <c r="H462" s="44"/>
      <c r="I462" s="31"/>
      <c r="J462" s="31"/>
      <c r="K462" s="31"/>
      <c r="L462" s="31"/>
      <c r="M462" s="31"/>
      <c r="N462" s="45"/>
      <c r="O462" s="31"/>
      <c r="P462" s="31"/>
      <c r="Q462" s="31"/>
      <c r="R462" s="45"/>
      <c r="S462" s="31"/>
    </row>
    <row r="463" spans="2:19" ht="15.75" x14ac:dyDescent="0.25">
      <c r="B463" s="76"/>
      <c r="C463" s="76"/>
      <c r="D463" s="77"/>
      <c r="E463" s="64"/>
      <c r="F463" s="78"/>
      <c r="G463" s="43"/>
      <c r="H463" s="79"/>
      <c r="I463" s="78"/>
      <c r="J463" s="78"/>
      <c r="K463" s="78"/>
      <c r="L463" s="78"/>
      <c r="M463" s="78"/>
      <c r="N463" s="79"/>
      <c r="O463" s="78"/>
      <c r="P463" s="80"/>
      <c r="Q463" s="80"/>
      <c r="R463" s="81"/>
      <c r="S463" s="82"/>
    </row>
    <row r="464" spans="2:19" ht="15.75" x14ac:dyDescent="0.25">
      <c r="B464" s="34">
        <v>1</v>
      </c>
      <c r="C464" s="34" t="s">
        <v>706</v>
      </c>
      <c r="D464" s="35" t="s">
        <v>707</v>
      </c>
      <c r="E464" s="36">
        <v>43646</v>
      </c>
      <c r="F464" s="37">
        <v>80</v>
      </c>
      <c r="G464" s="38">
        <v>10</v>
      </c>
      <c r="H464" s="39">
        <f t="shared" ref="H464:H477" si="92">+F464/G464</f>
        <v>8</v>
      </c>
      <c r="I464" s="37">
        <v>124.256564</v>
      </c>
      <c r="J464" s="37">
        <v>190.31508199999999</v>
      </c>
      <c r="K464" s="37">
        <v>6.2520569999999998</v>
      </c>
      <c r="L464" s="37">
        <v>3.1350000000000002E-3</v>
      </c>
      <c r="M464" s="37">
        <v>-15.683529</v>
      </c>
      <c r="N464" s="39">
        <f t="shared" ref="N464:N477" si="93">+M464-O464</f>
        <v>0</v>
      </c>
      <c r="O464" s="37">
        <v>-15.683529</v>
      </c>
      <c r="P464" s="40">
        <v>0</v>
      </c>
      <c r="Q464" s="40">
        <v>0</v>
      </c>
      <c r="R464" s="41">
        <f t="shared" ref="R464:R477" si="94">SUM(P464:Q464)</f>
        <v>0</v>
      </c>
      <c r="S464" s="42">
        <v>324</v>
      </c>
    </row>
    <row r="465" spans="2:19" ht="15.75" x14ac:dyDescent="0.25">
      <c r="B465" s="34">
        <f>+B464+1</f>
        <v>2</v>
      </c>
      <c r="C465" s="34" t="s">
        <v>708</v>
      </c>
      <c r="D465" s="35" t="s">
        <v>709</v>
      </c>
      <c r="E465" s="36">
        <v>43646</v>
      </c>
      <c r="F465" s="37">
        <v>3633.8</v>
      </c>
      <c r="G465" s="38">
        <v>10</v>
      </c>
      <c r="H465" s="39">
        <f t="shared" si="92"/>
        <v>363.38</v>
      </c>
      <c r="I465" s="37">
        <v>4564.2709999999997</v>
      </c>
      <c r="J465" s="37">
        <v>4874.0630000000001</v>
      </c>
      <c r="K465" s="37">
        <v>474.16</v>
      </c>
      <c r="L465" s="37">
        <v>20.167000000000002</v>
      </c>
      <c r="M465" s="37">
        <v>955.55200000000002</v>
      </c>
      <c r="N465" s="39">
        <f t="shared" si="93"/>
        <v>0.73000000000001819</v>
      </c>
      <c r="O465" s="37">
        <v>954.822</v>
      </c>
      <c r="P465" s="40">
        <f>31.5+30</f>
        <v>61.5</v>
      </c>
      <c r="Q465" s="40">
        <v>0</v>
      </c>
      <c r="R465" s="41">
        <f t="shared" si="94"/>
        <v>61.5</v>
      </c>
      <c r="S465" s="42">
        <v>342</v>
      </c>
    </row>
    <row r="466" spans="2:19" ht="15.75" x14ac:dyDescent="0.25">
      <c r="B466" s="34">
        <f t="shared" ref="B466:B477" si="95">+B465+1</f>
        <v>3</v>
      </c>
      <c r="C466" s="34" t="s">
        <v>710</v>
      </c>
      <c r="D466" s="35" t="s">
        <v>711</v>
      </c>
      <c r="E466" s="36">
        <v>43830</v>
      </c>
      <c r="F466" s="37">
        <v>3238</v>
      </c>
      <c r="G466" s="38">
        <v>10</v>
      </c>
      <c r="H466" s="39">
        <f t="shared" si="92"/>
        <v>323.8</v>
      </c>
      <c r="I466" s="37">
        <v>13963.183000000001</v>
      </c>
      <c r="J466" s="37">
        <v>27541.251</v>
      </c>
      <c r="K466" s="37">
        <v>13201.093999999999</v>
      </c>
      <c r="L466" s="37">
        <v>57.662999999999997</v>
      </c>
      <c r="M466" s="37">
        <v>3406.0030000000002</v>
      </c>
      <c r="N466" s="39">
        <f t="shared" si="93"/>
        <v>3.3210000000003674</v>
      </c>
      <c r="O466" s="37">
        <v>3402.6819999999998</v>
      </c>
      <c r="P466" s="40">
        <f>15+15</f>
        <v>30</v>
      </c>
      <c r="Q466" s="40">
        <v>0</v>
      </c>
      <c r="R466" s="41">
        <f t="shared" si="94"/>
        <v>30</v>
      </c>
      <c r="S466" s="42">
        <v>18184</v>
      </c>
    </row>
    <row r="467" spans="2:19" ht="15.75" x14ac:dyDescent="0.25">
      <c r="B467" s="34">
        <f t="shared" si="95"/>
        <v>4</v>
      </c>
      <c r="C467" s="34" t="s">
        <v>712</v>
      </c>
      <c r="D467" s="35" t="s">
        <v>713</v>
      </c>
      <c r="E467" s="36">
        <v>43646</v>
      </c>
      <c r="F467" s="37">
        <v>12971.544</v>
      </c>
      <c r="G467" s="38">
        <v>10</v>
      </c>
      <c r="H467" s="39">
        <f t="shared" si="92"/>
        <v>1297.1543999999999</v>
      </c>
      <c r="I467" s="37">
        <v>32263.321</v>
      </c>
      <c r="J467" s="37">
        <v>153727.79199999999</v>
      </c>
      <c r="K467" s="37">
        <v>36028.641000000003</v>
      </c>
      <c r="L467" s="37">
        <v>4961.1090000000004</v>
      </c>
      <c r="M467" s="37">
        <v>8275.5040000000008</v>
      </c>
      <c r="N467" s="39">
        <f t="shared" si="93"/>
        <v>238.52300000000105</v>
      </c>
      <c r="O467" s="37">
        <v>8036.9809999999998</v>
      </c>
      <c r="P467" s="40">
        <v>0</v>
      </c>
      <c r="Q467" s="40">
        <v>0</v>
      </c>
      <c r="R467" s="41">
        <f t="shared" si="94"/>
        <v>0</v>
      </c>
      <c r="S467" s="42">
        <v>14292</v>
      </c>
    </row>
    <row r="468" spans="2:19" ht="15.75" x14ac:dyDescent="0.25">
      <c r="B468" s="34">
        <f t="shared" si="95"/>
        <v>5</v>
      </c>
      <c r="C468" s="34" t="s">
        <v>714</v>
      </c>
      <c r="D468" s="35" t="s">
        <v>715</v>
      </c>
      <c r="E468" s="36">
        <v>43646</v>
      </c>
      <c r="F468" s="37">
        <v>8802.5319999999992</v>
      </c>
      <c r="G468" s="38">
        <v>10</v>
      </c>
      <c r="H468" s="39">
        <f t="shared" si="92"/>
        <v>880.25319999999988</v>
      </c>
      <c r="I468" s="37">
        <v>41161.146999999997</v>
      </c>
      <c r="J468" s="37">
        <v>139267.046</v>
      </c>
      <c r="K468" s="37">
        <v>84830.616999999998</v>
      </c>
      <c r="L468" s="37">
        <v>8306.1640000000007</v>
      </c>
      <c r="M468" s="37">
        <v>18982.512999999999</v>
      </c>
      <c r="N468" s="39">
        <f t="shared" si="93"/>
        <v>5870.9729999999981</v>
      </c>
      <c r="O468" s="37">
        <v>13111.54</v>
      </c>
      <c r="P468" s="40">
        <f>15+30</f>
        <v>45</v>
      </c>
      <c r="Q468" s="40">
        <v>0</v>
      </c>
      <c r="R468" s="41">
        <f t="shared" si="94"/>
        <v>45</v>
      </c>
      <c r="S468" s="42">
        <v>56630</v>
      </c>
    </row>
    <row r="469" spans="2:19" ht="15.75" x14ac:dyDescent="0.25">
      <c r="B469" s="34">
        <f t="shared" si="95"/>
        <v>6</v>
      </c>
      <c r="C469" s="34" t="s">
        <v>716</v>
      </c>
      <c r="D469" s="35" t="s">
        <v>717</v>
      </c>
      <c r="E469" s="36">
        <v>43646</v>
      </c>
      <c r="F469" s="37">
        <v>96653.179000000004</v>
      </c>
      <c r="G469" s="38">
        <v>3.5</v>
      </c>
      <c r="H469" s="39">
        <f t="shared" si="92"/>
        <v>27615.194</v>
      </c>
      <c r="I469" s="37">
        <v>214489.462</v>
      </c>
      <c r="J469" s="37">
        <v>598864.83299999998</v>
      </c>
      <c r="K469" s="37">
        <v>289119.07</v>
      </c>
      <c r="L469" s="37">
        <v>6284.6769999999997</v>
      </c>
      <c r="M469" s="37">
        <v>8882.6970000000001</v>
      </c>
      <c r="N469" s="39">
        <f t="shared" si="93"/>
        <v>-8390.9199999999983</v>
      </c>
      <c r="O469" s="37">
        <v>17273.616999999998</v>
      </c>
      <c r="P469" s="40">
        <v>0</v>
      </c>
      <c r="Q469" s="40">
        <v>0</v>
      </c>
      <c r="R469" s="41">
        <f t="shared" si="94"/>
        <v>0</v>
      </c>
      <c r="S469" s="42">
        <v>24598</v>
      </c>
    </row>
    <row r="470" spans="2:19" ht="15.75" x14ac:dyDescent="0.25">
      <c r="B470" s="34">
        <f t="shared" si="95"/>
        <v>7</v>
      </c>
      <c r="C470" s="34" t="s">
        <v>718</v>
      </c>
      <c r="D470" s="35" t="s">
        <v>719</v>
      </c>
      <c r="E470" s="36">
        <v>43646</v>
      </c>
      <c r="F470" s="37">
        <v>1694.586</v>
      </c>
      <c r="G470" s="38">
        <v>10</v>
      </c>
      <c r="H470" s="39">
        <f t="shared" si="92"/>
        <v>169.45859999999999</v>
      </c>
      <c r="I470" s="37">
        <v>5870.6239999999998</v>
      </c>
      <c r="J470" s="37">
        <v>11523.787</v>
      </c>
      <c r="K470" s="37">
        <v>7504.7380000000003</v>
      </c>
      <c r="L470" s="37">
        <v>505.71</v>
      </c>
      <c r="M470" s="37">
        <v>551.59199999999998</v>
      </c>
      <c r="N470" s="39">
        <f t="shared" si="93"/>
        <v>0.11500000000000909</v>
      </c>
      <c r="O470" s="37">
        <v>551.47699999999998</v>
      </c>
      <c r="P470" s="40">
        <f>15+15+20</f>
        <v>50</v>
      </c>
      <c r="Q470" s="40">
        <v>0</v>
      </c>
      <c r="R470" s="41">
        <f t="shared" si="94"/>
        <v>50</v>
      </c>
      <c r="S470" s="42">
        <v>1347</v>
      </c>
    </row>
    <row r="471" spans="2:19" ht="15.75" x14ac:dyDescent="0.25">
      <c r="B471" s="34">
        <f t="shared" si="95"/>
        <v>8</v>
      </c>
      <c r="C471" s="34" t="s">
        <v>720</v>
      </c>
      <c r="D471" s="35" t="s">
        <v>721</v>
      </c>
      <c r="E471" s="36">
        <v>43830</v>
      </c>
      <c r="F471" s="37">
        <v>3798.3870000000002</v>
      </c>
      <c r="G471" s="38">
        <v>10</v>
      </c>
      <c r="H471" s="39">
        <f t="shared" si="92"/>
        <v>379.83870000000002</v>
      </c>
      <c r="I471" s="37">
        <v>14827.339</v>
      </c>
      <c r="J471" s="37">
        <v>29557.003000000001</v>
      </c>
      <c r="K471" s="37">
        <v>12840.474</v>
      </c>
      <c r="L471" s="37">
        <v>1763.623</v>
      </c>
      <c r="M471" s="37">
        <v>2043.78</v>
      </c>
      <c r="N471" s="39">
        <f t="shared" si="93"/>
        <v>0</v>
      </c>
      <c r="O471" s="37">
        <v>2043.78</v>
      </c>
      <c r="P471" s="40">
        <v>0</v>
      </c>
      <c r="Q471" s="40">
        <v>0</v>
      </c>
      <c r="R471" s="41">
        <f t="shared" si="94"/>
        <v>0</v>
      </c>
      <c r="S471" s="42">
        <v>2643</v>
      </c>
    </row>
    <row r="472" spans="2:19" ht="15.75" x14ac:dyDescent="0.25">
      <c r="B472" s="34">
        <f t="shared" si="95"/>
        <v>9</v>
      </c>
      <c r="C472" s="34" t="s">
        <v>722</v>
      </c>
      <c r="D472" s="35" t="s">
        <v>723</v>
      </c>
      <c r="E472" s="36">
        <v>43646</v>
      </c>
      <c r="F472" s="37">
        <v>3673.4690000000001</v>
      </c>
      <c r="G472" s="38">
        <v>10</v>
      </c>
      <c r="H472" s="39">
        <f t="shared" si="92"/>
        <v>367.34690000000001</v>
      </c>
      <c r="I472" s="37">
        <v>14360.17</v>
      </c>
      <c r="J472" s="37">
        <v>29570.762999999999</v>
      </c>
      <c r="K472" s="37">
        <v>15021.084000000001</v>
      </c>
      <c r="L472" s="37">
        <v>1342.068</v>
      </c>
      <c r="M472" s="37">
        <v>3416.558</v>
      </c>
      <c r="N472" s="39">
        <f t="shared" si="93"/>
        <v>0</v>
      </c>
      <c r="O472" s="37">
        <v>3416.558</v>
      </c>
      <c r="P472" s="40">
        <f>10+10</f>
        <v>20</v>
      </c>
      <c r="Q472" s="40">
        <v>0</v>
      </c>
      <c r="R472" s="41">
        <f t="shared" si="94"/>
        <v>20</v>
      </c>
      <c r="S472" s="42">
        <v>3311</v>
      </c>
    </row>
    <row r="473" spans="2:19" ht="15.75" x14ac:dyDescent="0.25">
      <c r="B473" s="34">
        <f t="shared" si="95"/>
        <v>10</v>
      </c>
      <c r="C473" s="34" t="s">
        <v>724</v>
      </c>
      <c r="D473" s="35" t="s">
        <v>725</v>
      </c>
      <c r="E473" s="36">
        <v>43646</v>
      </c>
      <c r="F473" s="37">
        <v>3540.8850000000002</v>
      </c>
      <c r="G473" s="38">
        <v>10</v>
      </c>
      <c r="H473" s="39">
        <f t="shared" si="92"/>
        <v>354.08850000000001</v>
      </c>
      <c r="I473" s="37">
        <v>19108.719000000001</v>
      </c>
      <c r="J473" s="37">
        <v>29086.376</v>
      </c>
      <c r="K473" s="37">
        <v>15581.918</v>
      </c>
      <c r="L473" s="37">
        <v>945.64599999999996</v>
      </c>
      <c r="M473" s="37">
        <v>3769.549</v>
      </c>
      <c r="N473" s="39">
        <f t="shared" si="93"/>
        <v>0</v>
      </c>
      <c r="O473" s="37">
        <v>3769.549</v>
      </c>
      <c r="P473" s="40">
        <f>15</f>
        <v>15</v>
      </c>
      <c r="Q473" s="40">
        <v>0</v>
      </c>
      <c r="R473" s="41">
        <f t="shared" si="94"/>
        <v>15</v>
      </c>
      <c r="S473" s="42">
        <v>3267</v>
      </c>
    </row>
    <row r="474" spans="2:19" ht="15.75" x14ac:dyDescent="0.25">
      <c r="B474" s="34">
        <f t="shared" si="95"/>
        <v>11</v>
      </c>
      <c r="C474" s="34" t="s">
        <v>726</v>
      </c>
      <c r="D474" s="35" t="s">
        <v>727</v>
      </c>
      <c r="E474" s="36">
        <v>43830</v>
      </c>
      <c r="F474" s="37">
        <v>3720.8159999999998</v>
      </c>
      <c r="G474" s="38">
        <v>10</v>
      </c>
      <c r="H474" s="39">
        <f t="shared" si="92"/>
        <v>372.08159999999998</v>
      </c>
      <c r="I474" s="37">
        <v>19054.062000000002</v>
      </c>
      <c r="J474" s="37">
        <v>31455.054</v>
      </c>
      <c r="K474" s="37">
        <v>12185.385</v>
      </c>
      <c r="L474" s="37">
        <v>1532.7239999999999</v>
      </c>
      <c r="M474" s="37">
        <v>2911.0410000000002</v>
      </c>
      <c r="N474" s="39">
        <f t="shared" si="93"/>
        <v>0</v>
      </c>
      <c r="O474" s="37">
        <v>2911.0410000000002</v>
      </c>
      <c r="P474" s="40">
        <v>0</v>
      </c>
      <c r="Q474" s="40">
        <v>0</v>
      </c>
      <c r="R474" s="41">
        <f t="shared" si="94"/>
        <v>0</v>
      </c>
      <c r="S474" s="42">
        <v>2320</v>
      </c>
    </row>
    <row r="475" spans="2:19" ht="15.75" x14ac:dyDescent="0.25">
      <c r="B475" s="34">
        <f t="shared" si="95"/>
        <v>12</v>
      </c>
      <c r="C475" s="34" t="s">
        <v>728</v>
      </c>
      <c r="D475" s="35" t="s">
        <v>729</v>
      </c>
      <c r="E475" s="36">
        <v>43646</v>
      </c>
      <c r="F475" s="37">
        <v>190.92</v>
      </c>
      <c r="G475" s="38">
        <v>10</v>
      </c>
      <c r="H475" s="39">
        <f t="shared" si="92"/>
        <v>19.091999999999999</v>
      </c>
      <c r="I475" s="37">
        <v>1681.24235</v>
      </c>
      <c r="J475" s="37">
        <v>3417.6831569999999</v>
      </c>
      <c r="K475" s="37">
        <v>1036.6905999999999</v>
      </c>
      <c r="L475" s="37">
        <v>152.72189</v>
      </c>
      <c r="M475" s="37">
        <v>-189.47286700000001</v>
      </c>
      <c r="N475" s="39">
        <f t="shared" si="93"/>
        <v>2.3377150000000029</v>
      </c>
      <c r="O475" s="37">
        <v>-191.81058200000001</v>
      </c>
      <c r="P475" s="40">
        <v>0</v>
      </c>
      <c r="Q475" s="40">
        <v>0</v>
      </c>
      <c r="R475" s="41">
        <f t="shared" si="94"/>
        <v>0</v>
      </c>
      <c r="S475" s="42">
        <v>1225</v>
      </c>
    </row>
    <row r="476" spans="2:19" ht="15.75" x14ac:dyDescent="0.25">
      <c r="B476" s="34">
        <f t="shared" si="95"/>
        <v>13</v>
      </c>
      <c r="C476" s="34" t="s">
        <v>730</v>
      </c>
      <c r="D476" s="35" t="s">
        <v>731</v>
      </c>
      <c r="E476" s="36">
        <v>43830</v>
      </c>
      <c r="F476" s="37">
        <v>3864.7177900000002</v>
      </c>
      <c r="G476" s="38">
        <v>10</v>
      </c>
      <c r="H476" s="39">
        <f t="shared" si="92"/>
        <v>386.47177900000003</v>
      </c>
      <c r="I476" s="37">
        <v>14807.998141</v>
      </c>
      <c r="J476" s="37">
        <v>24720.34492</v>
      </c>
      <c r="K476" s="37">
        <v>14910.380875999999</v>
      </c>
      <c r="L476" s="37">
        <v>1208.886692</v>
      </c>
      <c r="M476" s="37">
        <v>3649.9469079999999</v>
      </c>
      <c r="N476" s="39">
        <f t="shared" si="93"/>
        <v>0</v>
      </c>
      <c r="O476" s="37">
        <v>3649.9469079999999</v>
      </c>
      <c r="P476" s="40">
        <f>10+20</f>
        <v>30</v>
      </c>
      <c r="Q476" s="40">
        <v>0</v>
      </c>
      <c r="R476" s="41">
        <f t="shared" si="94"/>
        <v>30</v>
      </c>
      <c r="S476" s="42">
        <v>4462</v>
      </c>
    </row>
    <row r="477" spans="2:19" ht="15.75" x14ac:dyDescent="0.25">
      <c r="B477" s="34">
        <f t="shared" si="95"/>
        <v>14</v>
      </c>
      <c r="C477" s="34" t="s">
        <v>732</v>
      </c>
      <c r="D477" s="35" t="s">
        <v>733</v>
      </c>
      <c r="E477" s="36">
        <v>43646</v>
      </c>
      <c r="F477" s="37">
        <v>150</v>
      </c>
      <c r="G477" s="38">
        <v>10</v>
      </c>
      <c r="H477" s="39">
        <f t="shared" si="92"/>
        <v>15</v>
      </c>
      <c r="I477" s="37">
        <v>170.19261599999999</v>
      </c>
      <c r="J477" s="37">
        <v>176.51733400000001</v>
      </c>
      <c r="K477" s="37">
        <v>29.574846000000001</v>
      </c>
      <c r="L477" s="37">
        <v>0</v>
      </c>
      <c r="M477" s="37">
        <v>4.6669830000000001</v>
      </c>
      <c r="N477" s="39">
        <f t="shared" si="93"/>
        <v>0</v>
      </c>
      <c r="O477" s="37">
        <v>4.6669830000000001</v>
      </c>
      <c r="P477" s="40">
        <v>0</v>
      </c>
      <c r="Q477" s="40">
        <v>0</v>
      </c>
      <c r="R477" s="41">
        <f t="shared" si="94"/>
        <v>0</v>
      </c>
      <c r="S477" s="42">
        <v>5536</v>
      </c>
    </row>
    <row r="478" spans="2:19" ht="15.75" x14ac:dyDescent="0.25">
      <c r="B478" s="76"/>
      <c r="C478" s="76"/>
      <c r="D478" s="77"/>
      <c r="E478" s="64"/>
      <c r="F478" s="78"/>
      <c r="G478" s="43"/>
      <c r="H478" s="79"/>
      <c r="I478" s="78"/>
      <c r="J478" s="78"/>
      <c r="K478" s="78"/>
      <c r="L478" s="78"/>
      <c r="M478" s="78"/>
      <c r="N478" s="79"/>
      <c r="O478" s="78"/>
      <c r="P478" s="80"/>
      <c r="Q478" s="80"/>
      <c r="R478" s="81"/>
      <c r="S478" s="82"/>
    </row>
    <row r="479" spans="2:19" ht="18.75" x14ac:dyDescent="0.3">
      <c r="B479" s="29"/>
      <c r="C479" s="29"/>
      <c r="D479" s="56" t="s">
        <v>43</v>
      </c>
      <c r="E479" s="29"/>
      <c r="F479" s="29"/>
      <c r="G479" s="43"/>
      <c r="H479" s="44"/>
      <c r="I479" s="31"/>
      <c r="J479" s="31"/>
      <c r="K479" s="31"/>
      <c r="L479" s="31"/>
      <c r="M479" s="31"/>
      <c r="N479" s="45"/>
      <c r="O479" s="31"/>
      <c r="P479" s="31"/>
      <c r="Q479" s="31"/>
      <c r="R479" s="45"/>
      <c r="S479" s="31"/>
    </row>
    <row r="480" spans="2:19" ht="15.75" x14ac:dyDescent="0.25">
      <c r="B480" s="34">
        <v>1</v>
      </c>
      <c r="C480" s="34" t="s">
        <v>734</v>
      </c>
      <c r="D480" s="35" t="s">
        <v>735</v>
      </c>
      <c r="E480" s="36">
        <v>43646</v>
      </c>
      <c r="F480" s="37"/>
      <c r="G480" s="38">
        <v>10</v>
      </c>
      <c r="H480" s="39">
        <f>+F480/G480</f>
        <v>0</v>
      </c>
      <c r="I480" s="37"/>
      <c r="J480" s="37"/>
      <c r="K480" s="37"/>
      <c r="L480" s="37"/>
      <c r="M480" s="37"/>
      <c r="N480" s="39">
        <f>+M480-O480</f>
        <v>0</v>
      </c>
      <c r="O480" s="37"/>
      <c r="P480" s="40"/>
      <c r="Q480" s="40"/>
      <c r="R480" s="41">
        <f>SUM(P480:Q480)</f>
        <v>0</v>
      </c>
      <c r="S480" s="42"/>
    </row>
    <row r="481" spans="2:19" ht="15.75" x14ac:dyDescent="0.25">
      <c r="B481" s="34">
        <f t="shared" ref="B481:B482" si="96">+B480+1</f>
        <v>2</v>
      </c>
      <c r="C481" s="34" t="s">
        <v>736</v>
      </c>
      <c r="D481" s="35" t="s">
        <v>737</v>
      </c>
      <c r="E481" s="36">
        <v>43646</v>
      </c>
      <c r="F481" s="37">
        <v>126</v>
      </c>
      <c r="G481" s="38">
        <v>10</v>
      </c>
      <c r="H481" s="39">
        <f>+F481/G481</f>
        <v>12.6</v>
      </c>
      <c r="I481" s="37">
        <v>146.408288</v>
      </c>
      <c r="J481" s="37">
        <v>149.486673</v>
      </c>
      <c r="K481" s="37">
        <v>15.430234</v>
      </c>
      <c r="L481" s="37">
        <v>2.441E-3</v>
      </c>
      <c r="M481" s="37">
        <v>-13.908293</v>
      </c>
      <c r="N481" s="39">
        <f>+M481-O481</f>
        <v>0.2531649999999992</v>
      </c>
      <c r="O481" s="37">
        <v>-14.161458</v>
      </c>
      <c r="P481" s="40">
        <v>0</v>
      </c>
      <c r="Q481" s="40">
        <v>0</v>
      </c>
      <c r="R481" s="41">
        <f>SUM(P481:Q481)</f>
        <v>0</v>
      </c>
      <c r="S481" s="42">
        <v>1273</v>
      </c>
    </row>
    <row r="482" spans="2:19" ht="15.75" x14ac:dyDescent="0.25">
      <c r="B482" s="34">
        <f t="shared" si="96"/>
        <v>3</v>
      </c>
      <c r="C482" s="34" t="s">
        <v>738</v>
      </c>
      <c r="D482" s="35" t="s">
        <v>739</v>
      </c>
      <c r="E482" s="36">
        <v>43646</v>
      </c>
      <c r="F482" s="37">
        <v>178.33199999999999</v>
      </c>
      <c r="G482" s="38">
        <v>10</v>
      </c>
      <c r="H482" s="39">
        <f>+F482/G482</f>
        <v>17.833199999999998</v>
      </c>
      <c r="I482" s="37">
        <v>11.386661</v>
      </c>
      <c r="J482" s="37">
        <v>15.212199999999999</v>
      </c>
      <c r="K482" s="37">
        <v>5.7881650000000002</v>
      </c>
      <c r="L482" s="37">
        <v>0</v>
      </c>
      <c r="M482" s="37">
        <v>1.050543</v>
      </c>
      <c r="N482" s="39">
        <f>+M482-O482</f>
        <v>0</v>
      </c>
      <c r="O482" s="37">
        <v>1.050543</v>
      </c>
      <c r="P482" s="40">
        <v>0</v>
      </c>
      <c r="Q482" s="40">
        <v>0</v>
      </c>
      <c r="R482" s="41">
        <f>SUM(P482:Q482)</f>
        <v>0</v>
      </c>
      <c r="S482" s="42"/>
    </row>
    <row r="483" spans="2:19" ht="15.75" x14ac:dyDescent="0.25">
      <c r="B483" s="76"/>
      <c r="C483" s="76"/>
      <c r="D483" s="77"/>
      <c r="E483" s="64"/>
      <c r="F483" s="78"/>
      <c r="G483" s="43"/>
      <c r="H483" s="79"/>
      <c r="I483" s="78"/>
      <c r="J483" s="78"/>
      <c r="K483" s="78"/>
      <c r="L483" s="78"/>
      <c r="M483" s="78"/>
      <c r="N483" s="79"/>
      <c r="O483" s="78"/>
      <c r="P483" s="80"/>
      <c r="Q483" s="80"/>
      <c r="R483" s="81"/>
      <c r="S483" s="82"/>
    </row>
    <row r="484" spans="2:19" ht="15.75" x14ac:dyDescent="0.25">
      <c r="B484" s="34">
        <f>COUNT(B464:B483)</f>
        <v>17</v>
      </c>
      <c r="C484" s="34"/>
      <c r="D484" s="48"/>
      <c r="E484" s="48"/>
      <c r="F484" s="48">
        <f>SUM(F464:F483)</f>
        <v>146317.16779000001</v>
      </c>
      <c r="G484" s="49"/>
      <c r="H484" s="50">
        <f t="shared" ref="H484:O484" si="97">SUM(H464:H483)</f>
        <v>32581.592879000003</v>
      </c>
      <c r="I484" s="48">
        <f t="shared" si="97"/>
        <v>396603.78261999995</v>
      </c>
      <c r="J484" s="48">
        <f t="shared" si="97"/>
        <v>1084137.527366</v>
      </c>
      <c r="K484" s="48">
        <f t="shared" si="97"/>
        <v>502791.29777799995</v>
      </c>
      <c r="L484" s="48">
        <f t="shared" si="97"/>
        <v>27081.165158</v>
      </c>
      <c r="M484" s="48">
        <f t="shared" si="97"/>
        <v>56631.388744999989</v>
      </c>
      <c r="N484" s="51">
        <f t="shared" si="97"/>
        <v>-2274.6671199999987</v>
      </c>
      <c r="O484" s="48">
        <f t="shared" si="97"/>
        <v>58906.055864999988</v>
      </c>
      <c r="P484" s="52"/>
      <c r="Q484" s="52"/>
      <c r="R484" s="53"/>
      <c r="S484" s="54">
        <f>SUM(S464:S483)</f>
        <v>139754</v>
      </c>
    </row>
    <row r="485" spans="2:19" ht="15.75" x14ac:dyDescent="0.25">
      <c r="B485" s="76"/>
      <c r="C485" s="76"/>
      <c r="D485" s="77"/>
      <c r="E485" s="64"/>
      <c r="F485" s="78"/>
      <c r="G485" s="43"/>
      <c r="H485" s="79"/>
      <c r="I485" s="78"/>
      <c r="J485" s="78"/>
      <c r="K485" s="78"/>
      <c r="L485" s="78"/>
      <c r="M485" s="78"/>
      <c r="N485" s="79"/>
      <c r="O485" s="78"/>
      <c r="P485" s="80"/>
      <c r="Q485" s="80"/>
      <c r="R485" s="81"/>
      <c r="S485" s="82"/>
    </row>
    <row r="486" spans="2:19" ht="15.75" x14ac:dyDescent="0.25">
      <c r="B486" s="76"/>
      <c r="C486" s="76"/>
      <c r="D486" s="77"/>
      <c r="E486" s="64"/>
      <c r="F486" s="78"/>
      <c r="G486" s="43"/>
      <c r="H486" s="79"/>
      <c r="I486" s="78"/>
      <c r="J486" s="78"/>
      <c r="K486" s="78"/>
      <c r="L486" s="78"/>
      <c r="M486" s="78"/>
      <c r="N486" s="79"/>
      <c r="O486" s="78"/>
      <c r="P486" s="80"/>
      <c r="Q486" s="80"/>
      <c r="R486" s="81"/>
      <c r="S486" s="82"/>
    </row>
    <row r="487" spans="2:19" ht="18.75" x14ac:dyDescent="0.3">
      <c r="B487" s="29"/>
      <c r="C487" s="33">
        <v>19</v>
      </c>
      <c r="D487" s="33" t="s">
        <v>740</v>
      </c>
      <c r="E487" s="61"/>
      <c r="F487" s="61"/>
      <c r="G487" s="43"/>
      <c r="H487" s="44"/>
      <c r="I487" s="31"/>
      <c r="J487" s="31"/>
      <c r="K487" s="31"/>
      <c r="L487" s="31"/>
      <c r="M487" s="31"/>
      <c r="N487" s="45"/>
      <c r="O487" s="31"/>
      <c r="P487" s="31"/>
      <c r="Q487" s="31"/>
      <c r="R487" s="45"/>
      <c r="S487" s="31"/>
    </row>
    <row r="488" spans="2:19" ht="15.75" x14ac:dyDescent="0.25">
      <c r="B488" s="76"/>
      <c r="C488" s="76"/>
      <c r="D488" s="77"/>
      <c r="E488" s="64"/>
      <c r="F488" s="78"/>
      <c r="G488" s="43"/>
      <c r="H488" s="79"/>
      <c r="I488" s="78"/>
      <c r="J488" s="78"/>
      <c r="K488" s="78"/>
      <c r="L488" s="78"/>
      <c r="M488" s="78"/>
      <c r="N488" s="79"/>
      <c r="O488" s="78"/>
      <c r="P488" s="80"/>
      <c r="Q488" s="80"/>
      <c r="R488" s="81"/>
      <c r="S488" s="82"/>
    </row>
    <row r="489" spans="2:19" ht="15.75" x14ac:dyDescent="0.25">
      <c r="B489" s="60">
        <v>1</v>
      </c>
      <c r="C489" s="60" t="s">
        <v>741</v>
      </c>
      <c r="D489" s="35" t="s">
        <v>742</v>
      </c>
      <c r="E489" s="36">
        <v>43646</v>
      </c>
      <c r="F489" s="37">
        <v>995.32799999999997</v>
      </c>
      <c r="G489" s="38">
        <v>10</v>
      </c>
      <c r="H489" s="39">
        <f t="shared" ref="H489:H496" si="98">+F489/G489</f>
        <v>99.532799999999995</v>
      </c>
      <c r="I489" s="37">
        <v>18926.735000000001</v>
      </c>
      <c r="J489" s="37">
        <v>46402.712</v>
      </c>
      <c r="K489" s="37">
        <v>223054.35200000001</v>
      </c>
      <c r="L489" s="37">
        <v>848.99199999999996</v>
      </c>
      <c r="M489" s="37">
        <v>5722.857</v>
      </c>
      <c r="N489" s="39">
        <f t="shared" ref="N489:N496" si="99">+M489-O489</f>
        <v>1762.2509999999997</v>
      </c>
      <c r="O489" s="37">
        <v>3960.6060000000002</v>
      </c>
      <c r="P489" s="40">
        <f>100+100</f>
        <v>200</v>
      </c>
      <c r="Q489" s="40">
        <v>0</v>
      </c>
      <c r="R489" s="41">
        <f t="shared" ref="R489:R496" si="100">SUM(P489:Q489)</f>
        <v>200</v>
      </c>
      <c r="S489" s="42">
        <v>3665</v>
      </c>
    </row>
    <row r="490" spans="2:19" ht="15.75" x14ac:dyDescent="0.25">
      <c r="B490" s="60">
        <f t="shared" ref="B490:B496" si="101">+B489+1</f>
        <v>2</v>
      </c>
      <c r="C490" s="60" t="s">
        <v>743</v>
      </c>
      <c r="D490" s="35" t="s">
        <v>744</v>
      </c>
      <c r="E490" s="36">
        <v>43646</v>
      </c>
      <c r="F490" s="37">
        <v>224.88800000000001</v>
      </c>
      <c r="G490" s="38">
        <v>10</v>
      </c>
      <c r="H490" s="39">
        <f t="shared" si="98"/>
        <v>22.488800000000001</v>
      </c>
      <c r="I490" s="37">
        <v>819.44399999999996</v>
      </c>
      <c r="J490" s="37">
        <v>1731.847</v>
      </c>
      <c r="K490" s="37">
        <v>3249.87</v>
      </c>
      <c r="L490" s="37">
        <v>4.8920000000000003</v>
      </c>
      <c r="M490" s="37">
        <v>64.974000000000004</v>
      </c>
      <c r="N490" s="39">
        <f t="shared" si="99"/>
        <v>39.117000000000004</v>
      </c>
      <c r="O490" s="37">
        <v>25.856999999999999</v>
      </c>
      <c r="P490" s="40">
        <v>10</v>
      </c>
      <c r="Q490" s="40">
        <v>0</v>
      </c>
      <c r="R490" s="41">
        <f t="shared" si="100"/>
        <v>10</v>
      </c>
      <c r="S490" s="42">
        <v>1392</v>
      </c>
    </row>
    <row r="491" spans="2:19" ht="15.75" x14ac:dyDescent="0.25">
      <c r="B491" s="60">
        <f t="shared" si="101"/>
        <v>3</v>
      </c>
      <c r="C491" s="60" t="s">
        <v>745</v>
      </c>
      <c r="D491" s="35" t="s">
        <v>746</v>
      </c>
      <c r="E491" s="36">
        <v>43830</v>
      </c>
      <c r="F491" s="37">
        <v>9991.2060000000001</v>
      </c>
      <c r="G491" s="38">
        <v>10</v>
      </c>
      <c r="H491" s="39">
        <f t="shared" si="98"/>
        <v>999.12059999999997</v>
      </c>
      <c r="I491" s="37"/>
      <c r="J491" s="37"/>
      <c r="K491" s="37"/>
      <c r="L491" s="37"/>
      <c r="M491" s="37">
        <v>-24887.151999999998</v>
      </c>
      <c r="N491" s="39">
        <f t="shared" si="99"/>
        <v>865.50200000000041</v>
      </c>
      <c r="O491" s="37">
        <v>-25752.653999999999</v>
      </c>
      <c r="P491" s="40">
        <v>0</v>
      </c>
      <c r="Q491" s="40">
        <v>0</v>
      </c>
      <c r="R491" s="41">
        <f t="shared" si="100"/>
        <v>0</v>
      </c>
      <c r="S491" s="42"/>
    </row>
    <row r="492" spans="2:19" ht="15.75" x14ac:dyDescent="0.25">
      <c r="B492" s="60">
        <f t="shared" si="101"/>
        <v>4</v>
      </c>
      <c r="C492" s="60" t="s">
        <v>747</v>
      </c>
      <c r="D492" s="35" t="s">
        <v>748</v>
      </c>
      <c r="E492" s="36">
        <v>43646</v>
      </c>
      <c r="F492" s="37">
        <v>1160.04</v>
      </c>
      <c r="G492" s="38">
        <v>10</v>
      </c>
      <c r="H492" s="39">
        <f>+F492/G492</f>
        <v>116.00399999999999</v>
      </c>
      <c r="I492" s="37">
        <v>3226.7844789999999</v>
      </c>
      <c r="J492" s="37">
        <v>6115.9671120000003</v>
      </c>
      <c r="K492" s="37">
        <v>9431.1624749999992</v>
      </c>
      <c r="L492" s="37">
        <v>235.07163600000001</v>
      </c>
      <c r="M492" s="37">
        <v>-197.341217</v>
      </c>
      <c r="N492" s="39">
        <f>+M492-O492</f>
        <v>237.47572099999999</v>
      </c>
      <c r="O492" s="37">
        <v>-434.81693799999999</v>
      </c>
      <c r="P492" s="40">
        <v>2.5</v>
      </c>
      <c r="Q492" s="40">
        <v>0</v>
      </c>
      <c r="R492" s="41">
        <f>SUM(P492:Q492)</f>
        <v>2.5</v>
      </c>
      <c r="S492" s="42">
        <v>4423</v>
      </c>
    </row>
    <row r="493" spans="2:19" ht="15.75" x14ac:dyDescent="0.25">
      <c r="B493" s="60">
        <f t="shared" si="101"/>
        <v>5</v>
      </c>
      <c r="C493" s="60" t="s">
        <v>749</v>
      </c>
      <c r="D493" s="35" t="s">
        <v>750</v>
      </c>
      <c r="E493" s="36">
        <v>43646</v>
      </c>
      <c r="F493" s="37">
        <v>3912.2779999999998</v>
      </c>
      <c r="G493" s="38">
        <v>10</v>
      </c>
      <c r="H493" s="39">
        <f t="shared" si="98"/>
        <v>391.2278</v>
      </c>
      <c r="I493" s="37">
        <v>119180.68700000001</v>
      </c>
      <c r="J493" s="37">
        <v>417079.52500000002</v>
      </c>
      <c r="K493" s="37">
        <v>1154297.98</v>
      </c>
      <c r="L493" s="37">
        <v>8939.0120000000006</v>
      </c>
      <c r="M493" s="37">
        <v>17476.84</v>
      </c>
      <c r="N493" s="39">
        <f t="shared" si="99"/>
        <v>6890.2870000000003</v>
      </c>
      <c r="O493" s="37">
        <v>10586.553</v>
      </c>
      <c r="P493" s="40">
        <f>50+50</f>
        <v>100</v>
      </c>
      <c r="Q493" s="40">
        <v>20</v>
      </c>
      <c r="R493" s="41">
        <f t="shared" si="100"/>
        <v>120</v>
      </c>
      <c r="S493" s="42">
        <v>16837</v>
      </c>
    </row>
    <row r="494" spans="2:19" ht="15.75" x14ac:dyDescent="0.25">
      <c r="B494" s="60">
        <f t="shared" si="101"/>
        <v>6</v>
      </c>
      <c r="C494" s="60" t="s">
        <v>751</v>
      </c>
      <c r="D494" s="35" t="s">
        <v>752</v>
      </c>
      <c r="E494" s="36">
        <v>43830</v>
      </c>
      <c r="F494" s="37">
        <v>1070.125</v>
      </c>
      <c r="G494" s="38">
        <v>10</v>
      </c>
      <c r="H494" s="39">
        <f t="shared" si="98"/>
        <v>107.0125</v>
      </c>
      <c r="I494" s="37">
        <v>4291.1329999999998</v>
      </c>
      <c r="J494" s="37">
        <v>56175.006999999998</v>
      </c>
      <c r="K494" s="37">
        <v>199718.601</v>
      </c>
      <c r="L494" s="37">
        <v>1522.768</v>
      </c>
      <c r="M494" s="37">
        <v>-139.96600000000001</v>
      </c>
      <c r="N494" s="39">
        <f t="shared" si="99"/>
        <v>1345.8009999999999</v>
      </c>
      <c r="O494" s="37">
        <v>-1485.7670000000001</v>
      </c>
      <c r="P494" s="40">
        <v>0</v>
      </c>
      <c r="Q494" s="40">
        <v>0</v>
      </c>
      <c r="R494" s="41">
        <f t="shared" si="100"/>
        <v>0</v>
      </c>
      <c r="S494" s="42">
        <v>6837</v>
      </c>
    </row>
    <row r="495" spans="2:19" ht="15.75" x14ac:dyDescent="0.25">
      <c r="B495" s="60">
        <f t="shared" si="101"/>
        <v>7</v>
      </c>
      <c r="C495" s="34" t="s">
        <v>753</v>
      </c>
      <c r="D495" s="35" t="s">
        <v>754</v>
      </c>
      <c r="E495" s="36">
        <v>43646</v>
      </c>
      <c r="F495" s="37">
        <v>6342.1660000000002</v>
      </c>
      <c r="G495" s="38">
        <v>10</v>
      </c>
      <c r="H495" s="39">
        <f t="shared" si="98"/>
        <v>634.21659999999997</v>
      </c>
      <c r="I495" s="37"/>
      <c r="J495" s="37"/>
      <c r="K495" s="37"/>
      <c r="L495" s="37"/>
      <c r="M495" s="37">
        <v>11149.217000000001</v>
      </c>
      <c r="N495" s="39">
        <f t="shared" si="99"/>
        <v>4073.3820000000005</v>
      </c>
      <c r="O495" s="37">
        <v>7075.835</v>
      </c>
      <c r="P495" s="40">
        <f>15+20</f>
        <v>35</v>
      </c>
      <c r="Q495" s="40">
        <v>0</v>
      </c>
      <c r="R495" s="41">
        <f t="shared" si="100"/>
        <v>35</v>
      </c>
      <c r="S495" s="42"/>
    </row>
    <row r="496" spans="2:19" ht="15.75" x14ac:dyDescent="0.25">
      <c r="B496" s="60">
        <f t="shared" si="101"/>
        <v>8</v>
      </c>
      <c r="C496" s="60" t="s">
        <v>755</v>
      </c>
      <c r="D496" s="35" t="s">
        <v>756</v>
      </c>
      <c r="E496" s="36">
        <v>43646</v>
      </c>
      <c r="F496" s="37">
        <v>8809.1640000000007</v>
      </c>
      <c r="G496" s="38">
        <v>10</v>
      </c>
      <c r="H496" s="39">
        <f t="shared" si="98"/>
        <v>880.91640000000007</v>
      </c>
      <c r="I496" s="37"/>
      <c r="J496" s="37"/>
      <c r="K496" s="37"/>
      <c r="L496" s="37"/>
      <c r="M496" s="37">
        <v>-16820.226999999999</v>
      </c>
      <c r="N496" s="39">
        <f t="shared" si="99"/>
        <v>1574.5410000000011</v>
      </c>
      <c r="O496" s="37">
        <v>-18394.768</v>
      </c>
      <c r="P496" s="40">
        <v>0</v>
      </c>
      <c r="Q496" s="40">
        <v>0</v>
      </c>
      <c r="R496" s="41">
        <f t="shared" si="100"/>
        <v>0</v>
      </c>
      <c r="S496" s="42"/>
    </row>
    <row r="497" spans="2:19" ht="15.75" x14ac:dyDescent="0.25">
      <c r="B497" s="29"/>
      <c r="C497" s="29"/>
      <c r="D497" s="29"/>
      <c r="E497" s="29"/>
      <c r="F497" s="29"/>
      <c r="G497" s="43"/>
      <c r="H497" s="44"/>
      <c r="I497" s="31"/>
      <c r="J497" s="31"/>
      <c r="K497" s="31"/>
      <c r="L497" s="31"/>
      <c r="M497" s="31"/>
      <c r="N497" s="45"/>
      <c r="O497" s="31"/>
      <c r="P497" s="31"/>
      <c r="Q497" s="31"/>
      <c r="R497" s="45"/>
      <c r="S497" s="31"/>
    </row>
    <row r="498" spans="2:19" ht="15.75" x14ac:dyDescent="0.25">
      <c r="B498" s="34">
        <f>COUNT(B489:B497)</f>
        <v>8</v>
      </c>
      <c r="C498" s="34"/>
      <c r="D498" s="48"/>
      <c r="E498" s="48"/>
      <c r="F498" s="48">
        <f>SUM(F489:F497)</f>
        <v>32505.195</v>
      </c>
      <c r="G498" s="49"/>
      <c r="H498" s="50">
        <f t="shared" ref="H498:O498" si="102">SUM(H489:H497)</f>
        <v>3250.5194999999999</v>
      </c>
      <c r="I498" s="48">
        <f t="shared" si="102"/>
        <v>146444.78347900001</v>
      </c>
      <c r="J498" s="48">
        <f t="shared" si="102"/>
        <v>527505.058112</v>
      </c>
      <c r="K498" s="48">
        <f t="shared" si="102"/>
        <v>1589751.965475</v>
      </c>
      <c r="L498" s="48">
        <f t="shared" si="102"/>
        <v>11550.735636000001</v>
      </c>
      <c r="M498" s="48">
        <f t="shared" si="102"/>
        <v>-7630.7982169999959</v>
      </c>
      <c r="N498" s="51">
        <f t="shared" si="102"/>
        <v>16788.356721</v>
      </c>
      <c r="O498" s="48">
        <f t="shared" si="102"/>
        <v>-24419.154938</v>
      </c>
      <c r="P498" s="52"/>
      <c r="Q498" s="52"/>
      <c r="R498" s="53"/>
      <c r="S498" s="54">
        <f>SUM(S489:S497)</f>
        <v>33154</v>
      </c>
    </row>
    <row r="499" spans="2:19" ht="15.75" x14ac:dyDescent="0.25">
      <c r="B499" s="29"/>
      <c r="C499" s="29"/>
      <c r="D499" s="29"/>
      <c r="E499" s="29"/>
      <c r="F499" s="29"/>
      <c r="G499" s="43"/>
      <c r="H499" s="44"/>
      <c r="I499" s="31"/>
      <c r="J499" s="31"/>
      <c r="K499" s="31"/>
      <c r="L499" s="31"/>
      <c r="M499" s="31"/>
      <c r="N499" s="45"/>
      <c r="O499" s="31"/>
      <c r="P499" s="31"/>
      <c r="Q499" s="31"/>
      <c r="R499" s="45"/>
      <c r="S499" s="31"/>
    </row>
    <row r="500" spans="2:19" ht="15.75" x14ac:dyDescent="0.25">
      <c r="B500" s="29"/>
      <c r="C500" s="29"/>
      <c r="D500" s="29"/>
      <c r="E500" s="29"/>
      <c r="F500" s="29"/>
      <c r="G500" s="43"/>
      <c r="H500" s="44"/>
      <c r="I500" s="31"/>
      <c r="J500" s="31"/>
      <c r="K500" s="31"/>
      <c r="L500" s="31"/>
      <c r="M500" s="31"/>
      <c r="N500" s="45"/>
      <c r="O500" s="31"/>
      <c r="P500" s="31"/>
      <c r="Q500" s="31"/>
      <c r="R500" s="45"/>
      <c r="S500" s="31"/>
    </row>
    <row r="501" spans="2:19" ht="18.75" x14ac:dyDescent="0.3">
      <c r="B501" s="29"/>
      <c r="C501" s="33">
        <v>20</v>
      </c>
      <c r="D501" s="33" t="s">
        <v>757</v>
      </c>
      <c r="E501" s="61"/>
      <c r="F501" s="61"/>
      <c r="G501" s="43"/>
      <c r="H501" s="44"/>
      <c r="I501" s="31"/>
      <c r="J501" s="31"/>
      <c r="K501" s="31"/>
      <c r="L501" s="31"/>
      <c r="M501" s="31"/>
      <c r="N501" s="45"/>
      <c r="O501" s="31"/>
      <c r="P501" s="31"/>
      <c r="Q501" s="31"/>
      <c r="R501" s="45"/>
      <c r="S501" s="31"/>
    </row>
    <row r="502" spans="2:19" ht="15.75" x14ac:dyDescent="0.25">
      <c r="B502" s="29"/>
      <c r="C502" s="29"/>
      <c r="D502" s="29"/>
      <c r="E502" s="29"/>
      <c r="F502" s="29"/>
      <c r="G502" s="43"/>
      <c r="H502" s="44"/>
      <c r="I502" s="31"/>
      <c r="J502" s="31"/>
      <c r="K502" s="31"/>
      <c r="L502" s="31"/>
      <c r="M502" s="31"/>
      <c r="N502" s="45"/>
      <c r="O502" s="31"/>
      <c r="P502" s="31"/>
      <c r="Q502" s="31"/>
      <c r="R502" s="45"/>
      <c r="S502" s="31"/>
    </row>
    <row r="503" spans="2:19" ht="15.75" x14ac:dyDescent="0.25">
      <c r="B503" s="60">
        <v>1</v>
      </c>
      <c r="C503" s="60" t="s">
        <v>758</v>
      </c>
      <c r="D503" s="35" t="s">
        <v>759</v>
      </c>
      <c r="E503" s="36">
        <v>43646</v>
      </c>
      <c r="F503" s="37">
        <v>1212.75</v>
      </c>
      <c r="G503" s="38">
        <v>10</v>
      </c>
      <c r="H503" s="39">
        <f>+F503/G503</f>
        <v>121.27500000000001</v>
      </c>
      <c r="I503" s="37">
        <v>63606.728999999999</v>
      </c>
      <c r="J503" s="37">
        <v>220062.20600000001</v>
      </c>
      <c r="K503" s="37">
        <v>59448.006999999998</v>
      </c>
      <c r="L503" s="37">
        <v>801.76</v>
      </c>
      <c r="M503" s="37">
        <v>34708.334000000003</v>
      </c>
      <c r="N503" s="39">
        <f>+M503-O503</f>
        <v>10381.246000000003</v>
      </c>
      <c r="O503" s="37">
        <v>24327.088</v>
      </c>
      <c r="P503" s="40">
        <f>40+20</f>
        <v>60</v>
      </c>
      <c r="Q503" s="40">
        <v>10</v>
      </c>
      <c r="R503" s="41">
        <f>SUM(P503:Q503)</f>
        <v>70</v>
      </c>
      <c r="S503" s="42">
        <v>2557</v>
      </c>
    </row>
    <row r="504" spans="2:19" ht="15.75" x14ac:dyDescent="0.25">
      <c r="B504" s="60">
        <f>+B503+1</f>
        <v>2</v>
      </c>
      <c r="C504" s="60" t="s">
        <v>760</v>
      </c>
      <c r="D504" s="35" t="s">
        <v>761</v>
      </c>
      <c r="E504" s="36">
        <v>43646</v>
      </c>
      <c r="F504" s="37">
        <v>43009.284</v>
      </c>
      <c r="G504" s="38">
        <v>10</v>
      </c>
      <c r="H504" s="39">
        <f>+F504/G504</f>
        <v>4300.9283999999998</v>
      </c>
      <c r="I504" s="37">
        <v>625365.24800000002</v>
      </c>
      <c r="J504" s="37">
        <v>766597.19</v>
      </c>
      <c r="K504" s="37">
        <v>261481.18799999999</v>
      </c>
      <c r="L504" s="37">
        <v>1692.538</v>
      </c>
      <c r="M504" s="37">
        <v>176599.413</v>
      </c>
      <c r="N504" s="39">
        <f>+M504-O504</f>
        <v>58213.625</v>
      </c>
      <c r="O504" s="37">
        <v>118385.788</v>
      </c>
      <c r="P504" s="40">
        <f>27.5+30+27.5+25</f>
        <v>110</v>
      </c>
      <c r="Q504" s="40">
        <v>0</v>
      </c>
      <c r="R504" s="41">
        <f>SUM(P504:Q504)</f>
        <v>110</v>
      </c>
      <c r="S504" s="42">
        <v>22997</v>
      </c>
    </row>
    <row r="505" spans="2:19" ht="15.75" x14ac:dyDescent="0.25">
      <c r="B505" s="60">
        <f>+B504+1</f>
        <v>3</v>
      </c>
      <c r="C505" s="60" t="s">
        <v>762</v>
      </c>
      <c r="D505" s="35" t="s">
        <v>763</v>
      </c>
      <c r="E505" s="36">
        <v>43646</v>
      </c>
      <c r="F505" s="37">
        <v>2838.5509999999999</v>
      </c>
      <c r="G505" s="38">
        <v>10</v>
      </c>
      <c r="H505" s="39">
        <f>+F505/G505</f>
        <v>283.85509999999999</v>
      </c>
      <c r="I505" s="37">
        <v>38070.997000000003</v>
      </c>
      <c r="J505" s="37">
        <v>81489.824999999997</v>
      </c>
      <c r="K505" s="37">
        <v>43977.307000000001</v>
      </c>
      <c r="L505" s="37">
        <v>3773.6260000000002</v>
      </c>
      <c r="M505" s="37">
        <v>24854.692999999999</v>
      </c>
      <c r="N505" s="39">
        <f>+M505-O505</f>
        <v>7982.9860000000008</v>
      </c>
      <c r="O505" s="37">
        <v>16871.706999999999</v>
      </c>
      <c r="P505" s="40">
        <f>200+300</f>
        <v>500</v>
      </c>
      <c r="Q505" s="40">
        <v>0</v>
      </c>
      <c r="R505" s="41">
        <f>SUM(P505:Q505)</f>
        <v>500</v>
      </c>
      <c r="S505" s="42">
        <v>5756</v>
      </c>
    </row>
    <row r="506" spans="2:19" ht="15.75" x14ac:dyDescent="0.25">
      <c r="B506" s="60">
        <f>+B505+1</f>
        <v>4</v>
      </c>
      <c r="C506" s="60" t="s">
        <v>764</v>
      </c>
      <c r="D506" s="35" t="s">
        <v>765</v>
      </c>
      <c r="E506" s="36">
        <v>43646</v>
      </c>
      <c r="F506" s="37">
        <v>22674.73</v>
      </c>
      <c r="G506" s="38">
        <v>10</v>
      </c>
      <c r="H506" s="39">
        <f>+F506/G506</f>
        <v>2267.473</v>
      </c>
      <c r="I506" s="37">
        <v>298608.98800000001</v>
      </c>
      <c r="J506" s="37">
        <v>458290.80200000003</v>
      </c>
      <c r="K506" s="37">
        <v>163889.60200000001</v>
      </c>
      <c r="L506" s="37">
        <v>741.02</v>
      </c>
      <c r="M506" s="37">
        <v>79931.203999999998</v>
      </c>
      <c r="N506" s="39">
        <f>+M506-O506</f>
        <v>18298.939999999995</v>
      </c>
      <c r="O506" s="37">
        <v>61632.264000000003</v>
      </c>
      <c r="P506" s="40">
        <v>20</v>
      </c>
      <c r="Q506" s="40">
        <v>20</v>
      </c>
      <c r="R506" s="41">
        <f>SUM(P506:Q506)</f>
        <v>40</v>
      </c>
      <c r="S506" s="42">
        <v>20802</v>
      </c>
    </row>
    <row r="507" spans="2:19" ht="15.75" x14ac:dyDescent="0.25">
      <c r="B507" s="29"/>
      <c r="C507" s="29"/>
      <c r="D507" s="29"/>
      <c r="E507" s="29"/>
      <c r="F507" s="29"/>
      <c r="G507" s="43"/>
      <c r="H507" s="44"/>
      <c r="I507" s="31"/>
      <c r="J507" s="31"/>
      <c r="K507" s="31"/>
      <c r="L507" s="31"/>
      <c r="M507" s="31"/>
      <c r="N507" s="45"/>
      <c r="O507" s="31"/>
      <c r="P507" s="31"/>
      <c r="Q507" s="31"/>
      <c r="R507" s="45"/>
      <c r="S507" s="31"/>
    </row>
    <row r="508" spans="2:19" ht="15.75" x14ac:dyDescent="0.25">
      <c r="B508" s="34">
        <f>COUNT(B503:B507)</f>
        <v>4</v>
      </c>
      <c r="C508" s="34"/>
      <c r="D508" s="48"/>
      <c r="E508" s="48"/>
      <c r="F508" s="48">
        <f>SUM(F503:F507)</f>
        <v>69735.315000000002</v>
      </c>
      <c r="G508" s="49"/>
      <c r="H508" s="50">
        <f t="shared" ref="H508:O508" si="103">SUM(H503:H507)</f>
        <v>6973.5314999999991</v>
      </c>
      <c r="I508" s="48">
        <f t="shared" si="103"/>
        <v>1025651.9620000001</v>
      </c>
      <c r="J508" s="48">
        <f t="shared" si="103"/>
        <v>1526440.023</v>
      </c>
      <c r="K508" s="48">
        <f t="shared" si="103"/>
        <v>528796.10400000005</v>
      </c>
      <c r="L508" s="48">
        <f t="shared" si="103"/>
        <v>7008.9439999999995</v>
      </c>
      <c r="M508" s="48">
        <f t="shared" si="103"/>
        <v>316093.64399999997</v>
      </c>
      <c r="N508" s="51">
        <f t="shared" si="103"/>
        <v>94876.796999999991</v>
      </c>
      <c r="O508" s="48">
        <f t="shared" si="103"/>
        <v>221216.84699999998</v>
      </c>
      <c r="P508" s="52"/>
      <c r="Q508" s="52"/>
      <c r="R508" s="53"/>
      <c r="S508" s="54">
        <f>SUM(S503:S507)</f>
        <v>52112</v>
      </c>
    </row>
    <row r="509" spans="2:19" ht="15.75" x14ac:dyDescent="0.25">
      <c r="B509" s="29"/>
      <c r="C509" s="29"/>
      <c r="D509" s="29"/>
      <c r="E509" s="29"/>
      <c r="F509" s="29"/>
      <c r="G509" s="43"/>
      <c r="H509" s="44"/>
      <c r="I509" s="31"/>
      <c r="J509" s="31"/>
      <c r="K509" s="31"/>
      <c r="L509" s="31"/>
      <c r="M509" s="31"/>
      <c r="N509" s="45"/>
      <c r="O509" s="31"/>
      <c r="P509" s="31"/>
      <c r="Q509" s="31"/>
      <c r="R509" s="45"/>
      <c r="S509" s="31"/>
    </row>
    <row r="510" spans="2:19" ht="15.75" x14ac:dyDescent="0.25">
      <c r="B510" s="29"/>
      <c r="C510" s="29"/>
      <c r="D510" s="29"/>
      <c r="E510" s="29"/>
      <c r="F510" s="29"/>
      <c r="G510" s="43"/>
      <c r="H510" s="44"/>
      <c r="I510" s="31"/>
      <c r="J510" s="31"/>
      <c r="K510" s="31"/>
      <c r="L510" s="31"/>
      <c r="M510" s="31"/>
      <c r="N510" s="45"/>
      <c r="O510" s="31"/>
      <c r="P510" s="31"/>
      <c r="Q510" s="31"/>
      <c r="R510" s="45"/>
      <c r="S510" s="31"/>
    </row>
    <row r="511" spans="2:19" ht="18.75" x14ac:dyDescent="0.3">
      <c r="B511" s="29"/>
      <c r="C511" s="33">
        <v>21</v>
      </c>
      <c r="D511" s="33" t="s">
        <v>766</v>
      </c>
      <c r="E511" s="61"/>
      <c r="F511" s="61"/>
      <c r="G511" s="43"/>
      <c r="H511" s="44"/>
      <c r="I511" s="31"/>
      <c r="J511" s="31"/>
      <c r="K511" s="31"/>
      <c r="L511" s="31"/>
      <c r="M511" s="31"/>
      <c r="N511" s="45"/>
      <c r="O511" s="31"/>
      <c r="P511" s="31"/>
      <c r="Q511" s="31"/>
      <c r="R511" s="45"/>
      <c r="S511" s="31"/>
    </row>
    <row r="512" spans="2:19" ht="15.75" x14ac:dyDescent="0.25">
      <c r="B512" s="29"/>
      <c r="C512" s="29"/>
      <c r="D512" s="29"/>
      <c r="E512" s="29"/>
      <c r="F512" s="29"/>
      <c r="G512" s="43"/>
      <c r="H512" s="44"/>
      <c r="I512" s="31"/>
      <c r="J512" s="31"/>
      <c r="K512" s="31"/>
      <c r="L512" s="31"/>
      <c r="M512" s="31"/>
      <c r="N512" s="45"/>
      <c r="O512" s="31"/>
      <c r="P512" s="31"/>
      <c r="Q512" s="31"/>
      <c r="R512" s="45"/>
      <c r="S512" s="31"/>
    </row>
    <row r="513" spans="2:19" ht="15.75" x14ac:dyDescent="0.25">
      <c r="B513" s="34">
        <v>1</v>
      </c>
      <c r="C513" s="34" t="s">
        <v>767</v>
      </c>
      <c r="D513" s="35" t="s">
        <v>768</v>
      </c>
      <c r="E513" s="36">
        <v>43646</v>
      </c>
      <c r="F513" s="37">
        <v>65.825999999999993</v>
      </c>
      <c r="G513" s="38">
        <v>10</v>
      </c>
      <c r="H513" s="39">
        <f t="shared" ref="H513:H524" si="104">+F513/G513</f>
        <v>6.5825999999999993</v>
      </c>
      <c r="I513" s="37">
        <v>46.686377</v>
      </c>
      <c r="J513" s="37">
        <v>280.02882199999999</v>
      </c>
      <c r="K513" s="37">
        <v>38.068978000000001</v>
      </c>
      <c r="L513" s="37">
        <v>4.5178849999999997</v>
      </c>
      <c r="M513" s="37">
        <v>-67.836619999999996</v>
      </c>
      <c r="N513" s="39">
        <f t="shared" ref="N513:N524" si="105">+M513-O513</f>
        <v>0.72628799999999671</v>
      </c>
      <c r="O513" s="37">
        <v>-68.562907999999993</v>
      </c>
      <c r="P513" s="40">
        <v>0</v>
      </c>
      <c r="Q513" s="40">
        <v>0</v>
      </c>
      <c r="R513" s="41">
        <f t="shared" ref="R513:R524" si="106">SUM(P513:Q513)</f>
        <v>0</v>
      </c>
      <c r="S513" s="42">
        <v>814</v>
      </c>
    </row>
    <row r="514" spans="2:19" ht="15.75" x14ac:dyDescent="0.25">
      <c r="B514" s="34">
        <f>+B513+1</f>
        <v>2</v>
      </c>
      <c r="C514" s="34" t="s">
        <v>769</v>
      </c>
      <c r="D514" s="35" t="s">
        <v>770</v>
      </c>
      <c r="E514" s="36">
        <v>43646</v>
      </c>
      <c r="F514" s="37">
        <v>7655.2929999999997</v>
      </c>
      <c r="G514" s="38">
        <v>10</v>
      </c>
      <c r="H514" s="39">
        <f t="shared" si="104"/>
        <v>765.52929999999992</v>
      </c>
      <c r="I514" s="37">
        <v>8746.8279999999995</v>
      </c>
      <c r="J514" s="37">
        <v>32730.909</v>
      </c>
      <c r="K514" s="37">
        <v>20230.796999999999</v>
      </c>
      <c r="L514" s="37">
        <v>1865.306</v>
      </c>
      <c r="M514" s="37">
        <v>-412.42899999999997</v>
      </c>
      <c r="N514" s="39">
        <f t="shared" si="105"/>
        <v>-666.12699999999995</v>
      </c>
      <c r="O514" s="37">
        <v>253.69800000000001</v>
      </c>
      <c r="P514" s="40">
        <v>0</v>
      </c>
      <c r="Q514" s="40">
        <v>0</v>
      </c>
      <c r="R514" s="41">
        <f t="shared" si="106"/>
        <v>0</v>
      </c>
      <c r="S514" s="42">
        <v>11081</v>
      </c>
    </row>
    <row r="515" spans="2:19" ht="15.75" x14ac:dyDescent="0.25">
      <c r="B515" s="34">
        <f>+B514+1</f>
        <v>3</v>
      </c>
      <c r="C515" s="34" t="s">
        <v>771</v>
      </c>
      <c r="D515" s="35" t="s">
        <v>772</v>
      </c>
      <c r="E515" s="36">
        <v>43646</v>
      </c>
      <c r="F515" s="37">
        <v>2970.11427</v>
      </c>
      <c r="G515" s="38">
        <v>10</v>
      </c>
      <c r="H515" s="39">
        <f t="shared" si="104"/>
        <v>297.01142700000003</v>
      </c>
      <c r="I515" s="37">
        <v>12243.584510999999</v>
      </c>
      <c r="J515" s="37">
        <v>29610.775291000002</v>
      </c>
      <c r="K515" s="37">
        <v>28595.975992</v>
      </c>
      <c r="L515" s="37">
        <v>1262.3030220000001</v>
      </c>
      <c r="M515" s="37">
        <v>-67.160965000000004</v>
      </c>
      <c r="N515" s="39">
        <f t="shared" si="105"/>
        <v>-99.984428000000008</v>
      </c>
      <c r="O515" s="37">
        <v>32.823462999999997</v>
      </c>
      <c r="P515" s="40">
        <v>0</v>
      </c>
      <c r="Q515" s="40">
        <v>0</v>
      </c>
      <c r="R515" s="41">
        <f t="shared" si="106"/>
        <v>0</v>
      </c>
      <c r="S515" s="42">
        <v>10905</v>
      </c>
    </row>
    <row r="516" spans="2:19" ht="15.75" x14ac:dyDescent="0.25">
      <c r="B516" s="34">
        <f t="shared" ref="B516:B524" si="107">+B515+1</f>
        <v>4</v>
      </c>
      <c r="C516" s="34" t="s">
        <v>773</v>
      </c>
      <c r="D516" s="35" t="s">
        <v>774</v>
      </c>
      <c r="E516" s="36">
        <v>43646</v>
      </c>
      <c r="F516" s="37">
        <v>114.72529</v>
      </c>
      <c r="G516" s="38">
        <v>10</v>
      </c>
      <c r="H516" s="39">
        <f t="shared" si="104"/>
        <v>11.472529</v>
      </c>
      <c r="I516" s="37">
        <v>381.80153799999999</v>
      </c>
      <c r="J516" s="37">
        <v>1182.2664179999999</v>
      </c>
      <c r="K516" s="37">
        <v>1513.636182</v>
      </c>
      <c r="L516" s="37">
        <v>51.258194000000003</v>
      </c>
      <c r="M516" s="37">
        <v>-310.12012199999998</v>
      </c>
      <c r="N516" s="39">
        <f t="shared" si="105"/>
        <v>-71.12063299999997</v>
      </c>
      <c r="O516" s="37">
        <v>-238.99948900000001</v>
      </c>
      <c r="P516" s="40">
        <v>0</v>
      </c>
      <c r="Q516" s="40">
        <v>0</v>
      </c>
      <c r="R516" s="41">
        <f t="shared" si="106"/>
        <v>0</v>
      </c>
      <c r="S516" s="42">
        <v>1311</v>
      </c>
    </row>
    <row r="517" spans="2:19" ht="15.75" x14ac:dyDescent="0.25">
      <c r="B517" s="34">
        <f t="shared" si="107"/>
        <v>5</v>
      </c>
      <c r="C517" s="34" t="s">
        <v>775</v>
      </c>
      <c r="D517" s="35" t="s">
        <v>776</v>
      </c>
      <c r="E517" s="36">
        <v>43646</v>
      </c>
      <c r="F517" s="37">
        <v>776.32500000000005</v>
      </c>
      <c r="G517" s="38">
        <v>10</v>
      </c>
      <c r="H517" s="39">
        <f t="shared" si="104"/>
        <v>77.632500000000007</v>
      </c>
      <c r="I517" s="37">
        <v>5394.0630000000001</v>
      </c>
      <c r="J517" s="37">
        <v>8287.0319999999992</v>
      </c>
      <c r="K517" s="37">
        <v>4066.5149999999999</v>
      </c>
      <c r="L517" s="37">
        <v>244.28200000000001</v>
      </c>
      <c r="M517" s="37">
        <v>24.895</v>
      </c>
      <c r="N517" s="39">
        <f t="shared" si="105"/>
        <v>-118.581</v>
      </c>
      <c r="O517" s="37">
        <v>143.476</v>
      </c>
      <c r="P517" s="40">
        <v>0</v>
      </c>
      <c r="Q517" s="40">
        <v>0</v>
      </c>
      <c r="R517" s="41">
        <f t="shared" si="106"/>
        <v>0</v>
      </c>
      <c r="S517" s="42">
        <v>3191</v>
      </c>
    </row>
    <row r="518" spans="2:19" ht="15.75" x14ac:dyDescent="0.25">
      <c r="B518" s="34">
        <f t="shared" si="107"/>
        <v>6</v>
      </c>
      <c r="C518" s="34" t="s">
        <v>777</v>
      </c>
      <c r="D518" s="35" t="s">
        <v>778</v>
      </c>
      <c r="E518" s="36">
        <v>43646</v>
      </c>
      <c r="F518" s="37">
        <v>107.64</v>
      </c>
      <c r="G518" s="38">
        <v>10</v>
      </c>
      <c r="H518" s="39">
        <f t="shared" si="104"/>
        <v>10.763999999999999</v>
      </c>
      <c r="I518" s="37">
        <v>1106.8910000000001</v>
      </c>
      <c r="J518" s="37">
        <v>3376.2539999999999</v>
      </c>
      <c r="K518" s="37">
        <v>2813.52</v>
      </c>
      <c r="L518" s="37">
        <v>178.715</v>
      </c>
      <c r="M518" s="37">
        <v>-195.536</v>
      </c>
      <c r="N518" s="39">
        <f t="shared" si="105"/>
        <v>-8.0000000000097771E-3</v>
      </c>
      <c r="O518" s="37">
        <v>-195.52799999999999</v>
      </c>
      <c r="P518" s="40">
        <v>0</v>
      </c>
      <c r="Q518" s="40">
        <v>0</v>
      </c>
      <c r="R518" s="41">
        <f t="shared" si="106"/>
        <v>0</v>
      </c>
      <c r="S518" s="42">
        <v>3694</v>
      </c>
    </row>
    <row r="519" spans="2:19" ht="15.75" x14ac:dyDescent="0.25">
      <c r="B519" s="34">
        <f t="shared" si="107"/>
        <v>7</v>
      </c>
      <c r="C519" s="34" t="s">
        <v>779</v>
      </c>
      <c r="D519" s="35" t="s">
        <v>780</v>
      </c>
      <c r="E519" s="36">
        <v>43646</v>
      </c>
      <c r="F519" s="37">
        <v>1198.9259999999999</v>
      </c>
      <c r="G519" s="38">
        <v>10</v>
      </c>
      <c r="H519" s="39">
        <f t="shared" si="104"/>
        <v>119.89259999999999</v>
      </c>
      <c r="I519" s="37">
        <v>9948.9439999999995</v>
      </c>
      <c r="J519" s="37">
        <v>25327.170999999998</v>
      </c>
      <c r="K519" s="37">
        <v>25750.467000000001</v>
      </c>
      <c r="L519" s="37">
        <v>924.29200000000003</v>
      </c>
      <c r="M519" s="37">
        <v>2093.1289999999999</v>
      </c>
      <c r="N519" s="39">
        <f t="shared" si="105"/>
        <v>518.41599999999994</v>
      </c>
      <c r="O519" s="37">
        <v>1574.713</v>
      </c>
      <c r="P519" s="40">
        <f>25+30</f>
        <v>55</v>
      </c>
      <c r="Q519" s="40">
        <v>10</v>
      </c>
      <c r="R519" s="41">
        <f t="shared" si="106"/>
        <v>65</v>
      </c>
      <c r="S519" s="42">
        <v>3467</v>
      </c>
    </row>
    <row r="520" spans="2:19" ht="15.75" x14ac:dyDescent="0.25">
      <c r="B520" s="34">
        <f t="shared" si="107"/>
        <v>8</v>
      </c>
      <c r="C520" s="34" t="s">
        <v>781</v>
      </c>
      <c r="D520" s="35" t="s">
        <v>782</v>
      </c>
      <c r="E520" s="36">
        <v>43646</v>
      </c>
      <c r="F520" s="37">
        <v>4350</v>
      </c>
      <c r="G520" s="38">
        <v>10</v>
      </c>
      <c r="H520" s="39">
        <f t="shared" si="104"/>
        <v>435</v>
      </c>
      <c r="I520" s="37">
        <v>12878.27</v>
      </c>
      <c r="J520" s="37">
        <v>39762.042000000001</v>
      </c>
      <c r="K520" s="37">
        <v>55061.879000000001</v>
      </c>
      <c r="L520" s="37">
        <v>1289.3150000000001</v>
      </c>
      <c r="M520" s="37">
        <v>3679.1179999999999</v>
      </c>
      <c r="N520" s="39">
        <f t="shared" si="105"/>
        <v>1014.7449999999999</v>
      </c>
      <c r="O520" s="37">
        <v>2664.373</v>
      </c>
      <c r="P520" s="40">
        <f>15+15</f>
        <v>30</v>
      </c>
      <c r="Q520" s="40">
        <v>0</v>
      </c>
      <c r="R520" s="41">
        <f t="shared" si="106"/>
        <v>30</v>
      </c>
      <c r="S520" s="42">
        <v>5993</v>
      </c>
    </row>
    <row r="521" spans="2:19" ht="15.75" x14ac:dyDescent="0.25">
      <c r="B521" s="34">
        <f t="shared" si="107"/>
        <v>9</v>
      </c>
      <c r="C521" s="34" t="s">
        <v>783</v>
      </c>
      <c r="D521" s="35" t="s">
        <v>784</v>
      </c>
      <c r="E521" s="36">
        <v>43646</v>
      </c>
      <c r="F521" s="37">
        <v>1443.43364</v>
      </c>
      <c r="G521" s="38">
        <v>10</v>
      </c>
      <c r="H521" s="39">
        <f t="shared" si="104"/>
        <v>144.34336400000001</v>
      </c>
      <c r="I521" s="37">
        <v>4098.9314949999998</v>
      </c>
      <c r="J521" s="37">
        <v>6422.2551320000002</v>
      </c>
      <c r="K521" s="37">
        <v>6809.7864609999997</v>
      </c>
      <c r="L521" s="37">
        <v>183.16048699999999</v>
      </c>
      <c r="M521" s="37">
        <v>322.63501300000001</v>
      </c>
      <c r="N521" s="39">
        <f t="shared" si="105"/>
        <v>124.44416900000002</v>
      </c>
      <c r="O521" s="37">
        <v>198.190844</v>
      </c>
      <c r="P521" s="40">
        <v>0</v>
      </c>
      <c r="Q521" s="40">
        <v>0</v>
      </c>
      <c r="R521" s="41">
        <f t="shared" si="106"/>
        <v>0</v>
      </c>
      <c r="S521" s="42">
        <v>5921</v>
      </c>
    </row>
    <row r="522" spans="2:19" ht="15.75" x14ac:dyDescent="0.25">
      <c r="B522" s="34">
        <f t="shared" si="107"/>
        <v>10</v>
      </c>
      <c r="C522" s="34" t="s">
        <v>785</v>
      </c>
      <c r="D522" s="35" t="s">
        <v>786</v>
      </c>
      <c r="E522" s="36">
        <v>43830</v>
      </c>
      <c r="F522" s="37">
        <v>132</v>
      </c>
      <c r="G522" s="38">
        <v>10</v>
      </c>
      <c r="H522" s="39">
        <f t="shared" si="104"/>
        <v>13.2</v>
      </c>
      <c r="I522" s="37">
        <v>1957.8980959999999</v>
      </c>
      <c r="J522" s="37">
        <v>4940.6629830000002</v>
      </c>
      <c r="K522" s="37">
        <v>3755.5315420000002</v>
      </c>
      <c r="L522" s="37">
        <v>170.538489</v>
      </c>
      <c r="M522" s="37">
        <v>116.91526500000001</v>
      </c>
      <c r="N522" s="39">
        <f t="shared" si="105"/>
        <v>29.034913000000003</v>
      </c>
      <c r="O522" s="37">
        <v>87.880352000000002</v>
      </c>
      <c r="P522" s="40">
        <v>15</v>
      </c>
      <c r="Q522" s="40">
        <v>0</v>
      </c>
      <c r="R522" s="41">
        <f t="shared" si="106"/>
        <v>15</v>
      </c>
      <c r="S522" s="42">
        <v>1080</v>
      </c>
    </row>
    <row r="523" spans="2:19" ht="15.75" x14ac:dyDescent="0.25">
      <c r="B523" s="34">
        <f t="shared" si="107"/>
        <v>11</v>
      </c>
      <c r="C523" s="34" t="s">
        <v>787</v>
      </c>
      <c r="D523" s="35" t="s">
        <v>788</v>
      </c>
      <c r="E523" s="36">
        <v>43646</v>
      </c>
      <c r="F523" s="37">
        <v>309.77600000000001</v>
      </c>
      <c r="G523" s="38">
        <v>10</v>
      </c>
      <c r="H523" s="39">
        <f t="shared" si="104"/>
        <v>30.977600000000002</v>
      </c>
      <c r="I523" s="37">
        <v>332.34</v>
      </c>
      <c r="J523" s="37">
        <v>804.90700000000004</v>
      </c>
      <c r="K523" s="37">
        <v>28.228999999999999</v>
      </c>
      <c r="L523" s="37">
        <v>0.111</v>
      </c>
      <c r="M523" s="37">
        <v>-18.513000000000002</v>
      </c>
      <c r="N523" s="39">
        <f t="shared" si="105"/>
        <v>0.1109999999999971</v>
      </c>
      <c r="O523" s="37">
        <v>-18.623999999999999</v>
      </c>
      <c r="P523" s="40">
        <v>0</v>
      </c>
      <c r="Q523" s="40">
        <v>0</v>
      </c>
      <c r="R523" s="41">
        <f t="shared" si="106"/>
        <v>0</v>
      </c>
      <c r="S523" s="42">
        <v>3664</v>
      </c>
    </row>
    <row r="524" spans="2:19" ht="15.75" x14ac:dyDescent="0.25">
      <c r="B524" s="34">
        <f t="shared" si="107"/>
        <v>12</v>
      </c>
      <c r="C524" s="34" t="s">
        <v>789</v>
      </c>
      <c r="D524" s="35" t="s">
        <v>790</v>
      </c>
      <c r="E524" s="36">
        <v>43646</v>
      </c>
      <c r="F524" s="37">
        <v>2515.9965000000002</v>
      </c>
      <c r="G524" s="38">
        <v>10</v>
      </c>
      <c r="H524" s="39">
        <f t="shared" si="104"/>
        <v>251.59965000000003</v>
      </c>
      <c r="I524" s="37">
        <v>7503.9338109999999</v>
      </c>
      <c r="J524" s="37">
        <v>22641.009135</v>
      </c>
      <c r="K524" s="37">
        <v>30828.088786</v>
      </c>
      <c r="L524" s="37">
        <v>786.32848899999999</v>
      </c>
      <c r="M524" s="37">
        <v>1737.4232609999999</v>
      </c>
      <c r="N524" s="39">
        <f t="shared" si="105"/>
        <v>364.49208199999998</v>
      </c>
      <c r="O524" s="37">
        <v>1372.9311789999999</v>
      </c>
      <c r="P524" s="40">
        <v>12</v>
      </c>
      <c r="Q524" s="40">
        <v>0</v>
      </c>
      <c r="R524" s="41">
        <f t="shared" si="106"/>
        <v>12</v>
      </c>
      <c r="S524" s="42">
        <v>7516</v>
      </c>
    </row>
    <row r="525" spans="2:19" ht="15.75" x14ac:dyDescent="0.25">
      <c r="B525" s="29"/>
      <c r="C525" s="29"/>
      <c r="D525" s="29"/>
      <c r="E525" s="29"/>
      <c r="F525" s="29"/>
      <c r="G525" s="43"/>
      <c r="H525" s="44"/>
      <c r="I525" s="31"/>
      <c r="J525" s="31"/>
      <c r="K525" s="31"/>
      <c r="L525" s="31"/>
      <c r="M525" s="31"/>
      <c r="N525" s="45"/>
      <c r="O525" s="31"/>
      <c r="P525" s="31"/>
      <c r="Q525" s="31"/>
      <c r="R525" s="45"/>
      <c r="S525" s="31"/>
    </row>
    <row r="526" spans="2:19" ht="18.75" x14ac:dyDescent="0.3">
      <c r="B526" s="29"/>
      <c r="C526" s="29"/>
      <c r="D526" s="56" t="s">
        <v>43</v>
      </c>
      <c r="E526" s="29"/>
      <c r="F526" s="29"/>
      <c r="G526" s="43"/>
      <c r="H526" s="44"/>
      <c r="I526" s="31"/>
      <c r="J526" s="31"/>
      <c r="K526" s="31"/>
      <c r="L526" s="31"/>
      <c r="M526" s="31"/>
      <c r="N526" s="45"/>
      <c r="O526" s="31"/>
      <c r="P526" s="31"/>
      <c r="Q526" s="31"/>
      <c r="R526" s="45"/>
      <c r="S526" s="31"/>
    </row>
    <row r="527" spans="2:19" ht="15.75" x14ac:dyDescent="0.25">
      <c r="B527" s="34">
        <v>1</v>
      </c>
      <c r="C527" s="60" t="s">
        <v>791</v>
      </c>
      <c r="D527" s="35" t="s">
        <v>792</v>
      </c>
      <c r="E527" s="36">
        <v>43646</v>
      </c>
      <c r="F527" s="37">
        <v>100</v>
      </c>
      <c r="G527" s="38">
        <v>10</v>
      </c>
      <c r="H527" s="39">
        <f>+F527/G527</f>
        <v>10</v>
      </c>
      <c r="I527" s="37">
        <v>30.314920000000001</v>
      </c>
      <c r="J527" s="37">
        <v>71.146013999999994</v>
      </c>
      <c r="K527" s="37">
        <v>1.2250000000000001</v>
      </c>
      <c r="L527" s="37">
        <v>0</v>
      </c>
      <c r="M527" s="37">
        <v>-0.71581799999999995</v>
      </c>
      <c r="N527" s="39">
        <f>+M527-O527</f>
        <v>0</v>
      </c>
      <c r="O527" s="37">
        <v>-0.71581799999999995</v>
      </c>
      <c r="P527" s="40">
        <v>0</v>
      </c>
      <c r="Q527" s="40">
        <v>0</v>
      </c>
      <c r="R527" s="41">
        <f>SUM(P527:Q527)</f>
        <v>0</v>
      </c>
      <c r="S527" s="42">
        <v>1036</v>
      </c>
    </row>
    <row r="528" spans="2:19" ht="15.75" x14ac:dyDescent="0.25">
      <c r="B528" s="34">
        <f>+B527+1</f>
        <v>2</v>
      </c>
      <c r="C528" s="34" t="s">
        <v>793</v>
      </c>
      <c r="D528" s="35" t="s">
        <v>794</v>
      </c>
      <c r="E528" s="36">
        <v>43646</v>
      </c>
      <c r="F528" s="37">
        <v>3157.3386</v>
      </c>
      <c r="G528" s="38">
        <v>10</v>
      </c>
      <c r="H528" s="39">
        <f>+F528/G528</f>
        <v>315.73385999999999</v>
      </c>
      <c r="I528" s="37">
        <v>792.52706499999999</v>
      </c>
      <c r="J528" s="37">
        <v>2783.2012340000001</v>
      </c>
      <c r="K528" s="37">
        <v>576.65796</v>
      </c>
      <c r="L528" s="37">
        <v>78.080979999999997</v>
      </c>
      <c r="M528" s="37">
        <v>-336.505379</v>
      </c>
      <c r="N528" s="39">
        <f>+M528-O528</f>
        <v>-23.196343000000013</v>
      </c>
      <c r="O528" s="37">
        <v>-313.30903599999999</v>
      </c>
      <c r="P528" s="40">
        <v>0</v>
      </c>
      <c r="Q528" s="40">
        <v>0</v>
      </c>
      <c r="R528" s="41">
        <f>SUM(P528:Q528)</f>
        <v>0</v>
      </c>
      <c r="S528" s="42">
        <v>18475</v>
      </c>
    </row>
    <row r="529" spans="2:19" ht="15.75" x14ac:dyDescent="0.25">
      <c r="B529" s="34">
        <f t="shared" ref="B529:B531" si="108">+B528+1</f>
        <v>3</v>
      </c>
      <c r="C529" s="34" t="s">
        <v>795</v>
      </c>
      <c r="D529" s="35" t="s">
        <v>796</v>
      </c>
      <c r="E529" s="36">
        <v>43646</v>
      </c>
      <c r="F529" s="37">
        <v>554.84400000000005</v>
      </c>
      <c r="G529" s="38">
        <v>10</v>
      </c>
      <c r="H529" s="39">
        <f>+F529/G529</f>
        <v>55.484400000000008</v>
      </c>
      <c r="I529" s="37">
        <v>5054.4390000000003</v>
      </c>
      <c r="J529" s="37">
        <v>7072.1469999999999</v>
      </c>
      <c r="K529" s="37">
        <v>501.10300000000001</v>
      </c>
      <c r="L529" s="37">
        <v>48.576999999999998</v>
      </c>
      <c r="M529" s="37">
        <v>32.908000000000001</v>
      </c>
      <c r="N529" s="39">
        <f>+M529-O529</f>
        <v>30.703000000000003</v>
      </c>
      <c r="O529" s="37">
        <v>2.2050000000000001</v>
      </c>
      <c r="P529" s="40">
        <v>0</v>
      </c>
      <c r="Q529" s="40">
        <v>0</v>
      </c>
      <c r="R529" s="41">
        <f>SUM(P529:Q529)</f>
        <v>0</v>
      </c>
      <c r="S529" s="42">
        <v>1579</v>
      </c>
    </row>
    <row r="530" spans="2:19" ht="15.75" x14ac:dyDescent="0.25">
      <c r="B530" s="34">
        <f t="shared" si="108"/>
        <v>4</v>
      </c>
      <c r="C530" s="34" t="s">
        <v>797</v>
      </c>
      <c r="D530" s="35" t="s">
        <v>798</v>
      </c>
      <c r="E530" s="36">
        <v>43646</v>
      </c>
      <c r="F530" s="37"/>
      <c r="G530" s="38">
        <v>10</v>
      </c>
      <c r="H530" s="39">
        <f>+F530/G530</f>
        <v>0</v>
      </c>
      <c r="I530" s="37"/>
      <c r="J530" s="37"/>
      <c r="K530" s="37"/>
      <c r="L530" s="37"/>
      <c r="M530" s="37"/>
      <c r="N530" s="39">
        <f>+M530-O530</f>
        <v>0</v>
      </c>
      <c r="O530" s="37"/>
      <c r="P530" s="40"/>
      <c r="Q530" s="40"/>
      <c r="R530" s="41">
        <f>SUM(P530:Q530)</f>
        <v>0</v>
      </c>
      <c r="S530" s="42"/>
    </row>
    <row r="531" spans="2:19" ht="15.75" x14ac:dyDescent="0.25">
      <c r="B531" s="34">
        <f t="shared" si="108"/>
        <v>5</v>
      </c>
      <c r="C531" s="34" t="s">
        <v>799</v>
      </c>
      <c r="D531" s="35" t="s">
        <v>800</v>
      </c>
      <c r="E531" s="36">
        <v>43646</v>
      </c>
      <c r="F531" s="37"/>
      <c r="G531" s="38">
        <v>10</v>
      </c>
      <c r="H531" s="39">
        <f>+F531/G531</f>
        <v>0</v>
      </c>
      <c r="I531" s="37"/>
      <c r="J531" s="37"/>
      <c r="K531" s="37"/>
      <c r="L531" s="37"/>
      <c r="M531" s="37"/>
      <c r="N531" s="39">
        <f>+M531-O531</f>
        <v>0</v>
      </c>
      <c r="O531" s="37"/>
      <c r="P531" s="40"/>
      <c r="Q531" s="40"/>
      <c r="R531" s="41">
        <f>SUM(P531:Q531)</f>
        <v>0</v>
      </c>
      <c r="S531" s="42"/>
    </row>
    <row r="532" spans="2:19" ht="15.75" x14ac:dyDescent="0.25">
      <c r="B532" s="29"/>
      <c r="C532" s="29"/>
      <c r="D532" s="29"/>
      <c r="E532" s="29"/>
      <c r="F532" s="29"/>
      <c r="G532" s="43"/>
      <c r="H532" s="44"/>
      <c r="I532" s="31"/>
      <c r="J532" s="31"/>
      <c r="K532" s="31"/>
      <c r="L532" s="31"/>
      <c r="M532" s="31"/>
      <c r="N532" s="45"/>
      <c r="O532" s="31"/>
      <c r="P532" s="31"/>
      <c r="Q532" s="31"/>
      <c r="R532" s="45"/>
      <c r="S532" s="31"/>
    </row>
    <row r="533" spans="2:19" ht="15.75" x14ac:dyDescent="0.25">
      <c r="B533" s="34">
        <f>COUNT(B513:B532)</f>
        <v>17</v>
      </c>
      <c r="C533" s="34"/>
      <c r="D533" s="48"/>
      <c r="E533" s="48"/>
      <c r="F533" s="48">
        <f>SUM(F513:F532)</f>
        <v>25452.238300000005</v>
      </c>
      <c r="G533" s="49"/>
      <c r="H533" s="50">
        <f t="shared" ref="H533:O533" si="109">SUM(H513:H532)</f>
        <v>2545.223829999999</v>
      </c>
      <c r="I533" s="48">
        <f t="shared" si="109"/>
        <v>70517.452812999996</v>
      </c>
      <c r="J533" s="48">
        <f t="shared" si="109"/>
        <v>185291.80702899999</v>
      </c>
      <c r="K533" s="48">
        <f t="shared" si="109"/>
        <v>180571.48090100003</v>
      </c>
      <c r="L533" s="48">
        <f t="shared" si="109"/>
        <v>7086.785546000001</v>
      </c>
      <c r="M533" s="48">
        <f t="shared" si="109"/>
        <v>6598.2066350000005</v>
      </c>
      <c r="N533" s="51">
        <f t="shared" si="109"/>
        <v>1103.6550479999996</v>
      </c>
      <c r="O533" s="48">
        <f t="shared" si="109"/>
        <v>5494.5515870000008</v>
      </c>
      <c r="P533" s="52"/>
      <c r="Q533" s="52"/>
      <c r="R533" s="53"/>
      <c r="S533" s="54">
        <f>SUM(S513:S532)</f>
        <v>79727</v>
      </c>
    </row>
    <row r="534" spans="2:19" ht="15.75" x14ac:dyDescent="0.25">
      <c r="B534" s="29"/>
      <c r="C534" s="29"/>
      <c r="D534" s="29"/>
      <c r="E534" s="29"/>
      <c r="F534" s="29"/>
      <c r="G534" s="43"/>
      <c r="H534" s="44"/>
      <c r="I534" s="31"/>
      <c r="J534" s="31"/>
      <c r="K534" s="31"/>
      <c r="L534" s="31"/>
      <c r="M534" s="31"/>
      <c r="N534" s="45"/>
      <c r="O534" s="31"/>
      <c r="P534" s="31"/>
      <c r="Q534" s="31"/>
      <c r="R534" s="45"/>
      <c r="S534" s="31"/>
    </row>
    <row r="535" spans="2:19" ht="15.75" x14ac:dyDescent="0.25">
      <c r="B535" s="29"/>
      <c r="C535" s="29"/>
      <c r="D535" s="29"/>
      <c r="E535" s="29"/>
      <c r="F535" s="29"/>
      <c r="G535" s="43"/>
      <c r="H535" s="44"/>
      <c r="I535" s="31"/>
      <c r="J535" s="31"/>
      <c r="K535" s="31"/>
      <c r="L535" s="31"/>
      <c r="M535" s="31"/>
      <c r="N535" s="45"/>
      <c r="O535" s="31"/>
      <c r="P535" s="31"/>
      <c r="Q535" s="31"/>
      <c r="R535" s="45"/>
      <c r="S535" s="31"/>
    </row>
    <row r="536" spans="2:19" ht="18.75" x14ac:dyDescent="0.3">
      <c r="B536" s="29"/>
      <c r="C536" s="33">
        <v>22</v>
      </c>
      <c r="D536" s="33" t="s">
        <v>801</v>
      </c>
      <c r="E536" s="61"/>
      <c r="F536" s="61"/>
      <c r="G536" s="43"/>
      <c r="H536" s="44"/>
      <c r="I536" s="31"/>
      <c r="J536" s="31"/>
      <c r="K536" s="31"/>
      <c r="L536" s="31"/>
      <c r="M536" s="31"/>
      <c r="N536" s="45"/>
      <c r="O536" s="31"/>
      <c r="P536" s="31"/>
      <c r="Q536" s="31"/>
      <c r="R536" s="45"/>
      <c r="S536" s="31"/>
    </row>
    <row r="537" spans="2:19" ht="15.75" x14ac:dyDescent="0.25">
      <c r="B537" s="29"/>
      <c r="C537" s="29"/>
      <c r="D537" s="29"/>
      <c r="E537" s="29"/>
      <c r="F537" s="29"/>
      <c r="G537" s="43"/>
      <c r="H537" s="44"/>
      <c r="I537" s="31"/>
      <c r="J537" s="31"/>
      <c r="K537" s="31"/>
      <c r="L537" s="31"/>
      <c r="M537" s="31"/>
      <c r="N537" s="45"/>
      <c r="O537" s="31"/>
      <c r="P537" s="31"/>
      <c r="Q537" s="31"/>
      <c r="R537" s="45"/>
      <c r="S537" s="31"/>
    </row>
    <row r="538" spans="2:19" ht="15.75" x14ac:dyDescent="0.25">
      <c r="B538" s="34">
        <v>1</v>
      </c>
      <c r="C538" s="34" t="s">
        <v>802</v>
      </c>
      <c r="D538" s="47" t="s">
        <v>803</v>
      </c>
      <c r="E538" s="36">
        <v>43830</v>
      </c>
      <c r="F538" s="37">
        <v>289.82100000000003</v>
      </c>
      <c r="G538" s="38">
        <v>5</v>
      </c>
      <c r="H538" s="39">
        <f t="shared" ref="H538:H548" si="110">+F538/G538</f>
        <v>57.964200000000005</v>
      </c>
      <c r="I538" s="37">
        <v>903.71699999999998</v>
      </c>
      <c r="J538" s="37">
        <v>5475.3829999999998</v>
      </c>
      <c r="K538" s="37">
        <v>13992.388000000001</v>
      </c>
      <c r="L538" s="37">
        <v>398.46300000000002</v>
      </c>
      <c r="M538" s="37">
        <v>1348.5239999999999</v>
      </c>
      <c r="N538" s="39">
        <f t="shared" ref="N538:N548" si="111">+M538-O538</f>
        <v>370.87199999999984</v>
      </c>
      <c r="O538" s="37">
        <v>977.65200000000004</v>
      </c>
      <c r="P538" s="40">
        <f>300</f>
        <v>300</v>
      </c>
      <c r="Q538" s="40">
        <v>0</v>
      </c>
      <c r="R538" s="41">
        <f t="shared" ref="R538:R548" si="112">SUM(P538:Q538)</f>
        <v>300</v>
      </c>
      <c r="S538" s="42">
        <v>2681</v>
      </c>
    </row>
    <row r="539" spans="2:19" ht="15.75" x14ac:dyDescent="0.25">
      <c r="B539" s="34">
        <f>+B538+1</f>
        <v>2</v>
      </c>
      <c r="C539" s="34" t="s">
        <v>804</v>
      </c>
      <c r="D539" s="35" t="s">
        <v>805</v>
      </c>
      <c r="E539" s="36">
        <v>43555</v>
      </c>
      <c r="F539" s="37">
        <v>1034.066</v>
      </c>
      <c r="G539" s="38">
        <v>10</v>
      </c>
      <c r="H539" s="39">
        <f t="shared" si="110"/>
        <v>103.4066</v>
      </c>
      <c r="I539" s="37">
        <v>15365.763999999999</v>
      </c>
      <c r="J539" s="37">
        <v>31954.916000000001</v>
      </c>
      <c r="K539" s="37">
        <v>82412.55</v>
      </c>
      <c r="L539" s="37">
        <v>25.818000000000001</v>
      </c>
      <c r="M539" s="37">
        <v>4615.3230000000003</v>
      </c>
      <c r="N539" s="39">
        <f t="shared" si="111"/>
        <v>1406.6640000000002</v>
      </c>
      <c r="O539" s="37">
        <v>3208.6590000000001</v>
      </c>
      <c r="P539" s="40">
        <f>100+100</f>
        <v>200</v>
      </c>
      <c r="Q539" s="40">
        <v>20</v>
      </c>
      <c r="R539" s="41">
        <f t="shared" si="112"/>
        <v>220</v>
      </c>
      <c r="S539" s="42">
        <v>1552</v>
      </c>
    </row>
    <row r="540" spans="2:19" ht="15.75" x14ac:dyDescent="0.25">
      <c r="B540" s="34">
        <f>+B539+1</f>
        <v>3</v>
      </c>
      <c r="C540" s="34" t="s">
        <v>806</v>
      </c>
      <c r="D540" s="35" t="s">
        <v>807</v>
      </c>
      <c r="E540" s="36">
        <v>43646</v>
      </c>
      <c r="F540" s="37">
        <v>500.28879999999998</v>
      </c>
      <c r="G540" s="38">
        <v>10</v>
      </c>
      <c r="H540" s="39">
        <f t="shared" si="110"/>
        <v>50.028880000000001</v>
      </c>
      <c r="I540" s="37">
        <v>57.745029000000002</v>
      </c>
      <c r="J540" s="37">
        <v>291.03779900000001</v>
      </c>
      <c r="K540" s="37">
        <v>148.99229199999999</v>
      </c>
      <c r="L540" s="37">
        <v>182.227</v>
      </c>
      <c r="M540" s="37">
        <v>-20.971329000000001</v>
      </c>
      <c r="N540" s="39">
        <f t="shared" si="111"/>
        <v>2.7761600000000008</v>
      </c>
      <c r="O540" s="37">
        <v>-23.747489000000002</v>
      </c>
      <c r="P540" s="40">
        <v>0</v>
      </c>
      <c r="Q540" s="40">
        <v>0</v>
      </c>
      <c r="R540" s="41">
        <f t="shared" si="112"/>
        <v>0</v>
      </c>
      <c r="S540" s="42">
        <v>4740</v>
      </c>
    </row>
    <row r="541" spans="2:19" ht="15.75" x14ac:dyDescent="0.25">
      <c r="B541" s="34">
        <f t="shared" ref="B541:B548" si="113">+B540+1</f>
        <v>4</v>
      </c>
      <c r="C541" s="34" t="s">
        <v>808</v>
      </c>
      <c r="D541" s="35" t="s">
        <v>809</v>
      </c>
      <c r="E541" s="36">
        <v>43646</v>
      </c>
      <c r="F541" s="37">
        <v>426.08800000000002</v>
      </c>
      <c r="G541" s="38">
        <v>10</v>
      </c>
      <c r="H541" s="39">
        <f t="shared" si="110"/>
        <v>42.608800000000002</v>
      </c>
      <c r="I541" s="37">
        <v>4648.384</v>
      </c>
      <c r="J541" s="37">
        <v>15922.701999999999</v>
      </c>
      <c r="K541" s="37">
        <v>13909.913</v>
      </c>
      <c r="L541" s="37">
        <v>751.01900000000001</v>
      </c>
      <c r="M541" s="37">
        <v>138.97</v>
      </c>
      <c r="N541" s="39">
        <f t="shared" si="111"/>
        <v>79.021999999999991</v>
      </c>
      <c r="O541" s="37">
        <v>59.948</v>
      </c>
      <c r="P541" s="40">
        <v>0</v>
      </c>
      <c r="Q541" s="40">
        <v>0</v>
      </c>
      <c r="R541" s="41">
        <f t="shared" si="112"/>
        <v>0</v>
      </c>
      <c r="S541" s="42">
        <v>7448</v>
      </c>
    </row>
    <row r="542" spans="2:19" ht="15.75" x14ac:dyDescent="0.25">
      <c r="B542" s="34">
        <f t="shared" si="113"/>
        <v>5</v>
      </c>
      <c r="C542" s="34" t="s">
        <v>810</v>
      </c>
      <c r="D542" s="35" t="s">
        <v>811</v>
      </c>
      <c r="E542" s="36">
        <v>43646</v>
      </c>
      <c r="F542" s="37">
        <v>570.02499999999998</v>
      </c>
      <c r="G542" s="38">
        <v>10</v>
      </c>
      <c r="H542" s="39">
        <f t="shared" si="110"/>
        <v>57.002499999999998</v>
      </c>
      <c r="I542" s="37">
        <v>6083.9650000000001</v>
      </c>
      <c r="J542" s="37">
        <v>7097.9880000000003</v>
      </c>
      <c r="K542" s="37">
        <v>2373.75</v>
      </c>
      <c r="L542" s="37">
        <v>263.82100000000003</v>
      </c>
      <c r="M542" s="37">
        <v>5.4210000000000003</v>
      </c>
      <c r="N542" s="39">
        <f t="shared" si="111"/>
        <v>34.227000000000004</v>
      </c>
      <c r="O542" s="37">
        <v>-28.806000000000001</v>
      </c>
      <c r="P542" s="40">
        <v>0</v>
      </c>
      <c r="Q542" s="40">
        <v>0</v>
      </c>
      <c r="R542" s="41">
        <f t="shared" si="112"/>
        <v>0</v>
      </c>
      <c r="S542" s="42">
        <v>7265</v>
      </c>
    </row>
    <row r="543" spans="2:19" ht="15.75" x14ac:dyDescent="0.25">
      <c r="B543" s="34">
        <f t="shared" si="113"/>
        <v>6</v>
      </c>
      <c r="C543" s="34" t="s">
        <v>812</v>
      </c>
      <c r="D543" s="35" t="s">
        <v>813</v>
      </c>
      <c r="E543" s="36">
        <v>43555</v>
      </c>
      <c r="F543" s="37">
        <v>1428</v>
      </c>
      <c r="G543" s="38">
        <v>10</v>
      </c>
      <c r="H543" s="39">
        <f t="shared" si="110"/>
        <v>142.80000000000001</v>
      </c>
      <c r="I543" s="37">
        <v>17626.651999999998</v>
      </c>
      <c r="J543" s="37">
        <v>32101.190999999999</v>
      </c>
      <c r="K543" s="37">
        <v>95128.289000000004</v>
      </c>
      <c r="L543" s="37">
        <v>11.189</v>
      </c>
      <c r="M543" s="37">
        <v>5593.5730000000003</v>
      </c>
      <c r="N543" s="39">
        <f t="shared" si="111"/>
        <v>1742.4600000000005</v>
      </c>
      <c r="O543" s="37">
        <v>3851.1129999999998</v>
      </c>
      <c r="P543" s="40">
        <v>121.5</v>
      </c>
      <c r="Q543" s="40">
        <v>0</v>
      </c>
      <c r="R543" s="41">
        <f t="shared" si="112"/>
        <v>121.5</v>
      </c>
      <c r="S543" s="42">
        <v>6662</v>
      </c>
    </row>
    <row r="544" spans="2:19" ht="15.75" x14ac:dyDescent="0.25">
      <c r="B544" s="34">
        <f t="shared" si="113"/>
        <v>7</v>
      </c>
      <c r="C544" s="34" t="s">
        <v>814</v>
      </c>
      <c r="D544" s="35" t="s">
        <v>815</v>
      </c>
      <c r="E544" s="36">
        <v>43555</v>
      </c>
      <c r="F544" s="37">
        <v>124.006</v>
      </c>
      <c r="G544" s="38">
        <v>10</v>
      </c>
      <c r="H544" s="39">
        <f t="shared" si="110"/>
        <v>12.400600000000001</v>
      </c>
      <c r="I544" s="37">
        <v>3560.4119999999998</v>
      </c>
      <c r="J544" s="37">
        <v>14290.675999999999</v>
      </c>
      <c r="K544" s="37">
        <v>19130.839</v>
      </c>
      <c r="L544" s="37">
        <v>1021.797</v>
      </c>
      <c r="M544" s="37">
        <v>-520.17399999999998</v>
      </c>
      <c r="N544" s="39">
        <f t="shared" si="111"/>
        <v>353.12300000000005</v>
      </c>
      <c r="O544" s="37">
        <v>-873.29700000000003</v>
      </c>
      <c r="P544" s="40">
        <v>0</v>
      </c>
      <c r="Q544" s="40">
        <v>0</v>
      </c>
      <c r="R544" s="41">
        <f t="shared" si="112"/>
        <v>0</v>
      </c>
      <c r="S544" s="42">
        <v>1725</v>
      </c>
    </row>
    <row r="545" spans="2:19" ht="15.75" x14ac:dyDescent="0.25">
      <c r="B545" s="34">
        <f t="shared" si="113"/>
        <v>8</v>
      </c>
      <c r="C545" s="34" t="s">
        <v>816</v>
      </c>
      <c r="D545" s="35" t="s">
        <v>817</v>
      </c>
      <c r="E545" s="36">
        <v>43646</v>
      </c>
      <c r="F545" s="37">
        <v>786</v>
      </c>
      <c r="G545" s="38">
        <v>10</v>
      </c>
      <c r="H545" s="39">
        <f t="shared" si="110"/>
        <v>78.599999999999994</v>
      </c>
      <c r="I545" s="37">
        <v>40045.309000000001</v>
      </c>
      <c r="J545" s="37">
        <v>64783.061999999998</v>
      </c>
      <c r="K545" s="37">
        <v>157996.212</v>
      </c>
      <c r="L545" s="37">
        <v>67.406999999999996</v>
      </c>
      <c r="M545" s="37">
        <v>18975.929</v>
      </c>
      <c r="N545" s="39">
        <f t="shared" si="111"/>
        <v>5260.9539999999997</v>
      </c>
      <c r="O545" s="37">
        <v>13714.975</v>
      </c>
      <c r="P545" s="40">
        <f>325+250+300+275</f>
        <v>1150</v>
      </c>
      <c r="Q545" s="40">
        <v>0</v>
      </c>
      <c r="R545" s="41">
        <f t="shared" si="112"/>
        <v>1150</v>
      </c>
      <c r="S545" s="42">
        <v>4126</v>
      </c>
    </row>
    <row r="546" spans="2:19" ht="15.75" x14ac:dyDescent="0.25">
      <c r="B546" s="34">
        <f t="shared" si="113"/>
        <v>9</v>
      </c>
      <c r="C546" s="34" t="s">
        <v>818</v>
      </c>
      <c r="D546" s="35" t="s">
        <v>819</v>
      </c>
      <c r="E546" s="36">
        <v>43646</v>
      </c>
      <c r="F546" s="37">
        <v>442.92599999999999</v>
      </c>
      <c r="G546" s="38">
        <v>10</v>
      </c>
      <c r="H546" s="39">
        <f t="shared" si="110"/>
        <v>44.2926</v>
      </c>
      <c r="I546" s="37">
        <v>4833.1670000000004</v>
      </c>
      <c r="J546" s="37">
        <v>10574.183999999999</v>
      </c>
      <c r="K546" s="37">
        <v>31144.057000000001</v>
      </c>
      <c r="L546" s="37">
        <v>42.043999999999997</v>
      </c>
      <c r="M546" s="37">
        <v>5082.8609999999999</v>
      </c>
      <c r="N546" s="39">
        <f t="shared" si="111"/>
        <v>1444.8159999999998</v>
      </c>
      <c r="O546" s="37">
        <v>3638.0450000000001</v>
      </c>
      <c r="P546" s="40">
        <f>450+400</f>
        <v>850</v>
      </c>
      <c r="Q546" s="40">
        <v>12.5</v>
      </c>
      <c r="R546" s="41">
        <f t="shared" si="112"/>
        <v>862.5</v>
      </c>
      <c r="S546" s="42">
        <v>4377</v>
      </c>
    </row>
    <row r="547" spans="2:19" ht="15.75" x14ac:dyDescent="0.25">
      <c r="B547" s="34">
        <f t="shared" si="113"/>
        <v>10</v>
      </c>
      <c r="C547" s="34" t="s">
        <v>820</v>
      </c>
      <c r="D547" s="35" t="s">
        <v>821</v>
      </c>
      <c r="E547" s="36">
        <v>43830</v>
      </c>
      <c r="F547" s="37">
        <v>822.99900000000002</v>
      </c>
      <c r="G547" s="38">
        <v>10</v>
      </c>
      <c r="H547" s="39">
        <f t="shared" si="110"/>
        <v>82.299900000000008</v>
      </c>
      <c r="I547" s="37">
        <v>25950.885999999999</v>
      </c>
      <c r="J547" s="37">
        <v>77659.826000000001</v>
      </c>
      <c r="K547" s="37">
        <v>116548.016</v>
      </c>
      <c r="L547" s="37">
        <v>2087.752</v>
      </c>
      <c r="M547" s="37">
        <v>-4951.7439999999997</v>
      </c>
      <c r="N547" s="39">
        <f t="shared" si="111"/>
        <v>-2031.2589999999996</v>
      </c>
      <c r="O547" s="37">
        <v>-2920.4850000000001</v>
      </c>
      <c r="P547" s="40">
        <v>0</v>
      </c>
      <c r="Q547" s="40">
        <v>0</v>
      </c>
      <c r="R547" s="41">
        <f t="shared" si="112"/>
        <v>0</v>
      </c>
      <c r="S547" s="42">
        <v>6524</v>
      </c>
    </row>
    <row r="548" spans="2:19" ht="15.75" x14ac:dyDescent="0.25">
      <c r="B548" s="34">
        <f t="shared" si="113"/>
        <v>11</v>
      </c>
      <c r="C548" s="34" t="s">
        <v>822</v>
      </c>
      <c r="D548" s="35" t="s">
        <v>823</v>
      </c>
      <c r="E548" s="36">
        <v>43646</v>
      </c>
      <c r="F548" s="37">
        <v>215.66842</v>
      </c>
      <c r="G548" s="38">
        <v>10</v>
      </c>
      <c r="H548" s="39">
        <f t="shared" si="110"/>
        <v>21.566842000000001</v>
      </c>
      <c r="I548" s="37">
        <v>1044.7072470000001</v>
      </c>
      <c r="J548" s="37">
        <v>1970.918482</v>
      </c>
      <c r="K548" s="37">
        <v>3218.5238380000001</v>
      </c>
      <c r="L548" s="37">
        <v>24.29279</v>
      </c>
      <c r="M548" s="37">
        <v>111.84451300000001</v>
      </c>
      <c r="N548" s="39">
        <f t="shared" si="111"/>
        <v>29.847355000000007</v>
      </c>
      <c r="O548" s="37">
        <v>81.997157999999999</v>
      </c>
      <c r="P548" s="40">
        <v>0</v>
      </c>
      <c r="Q548" s="40">
        <v>0</v>
      </c>
      <c r="R548" s="41">
        <f t="shared" si="112"/>
        <v>0</v>
      </c>
      <c r="S548" s="42">
        <v>836</v>
      </c>
    </row>
    <row r="549" spans="2:19" ht="15.75" x14ac:dyDescent="0.25">
      <c r="B549" s="29"/>
      <c r="C549" s="29"/>
      <c r="D549" s="29"/>
      <c r="E549" s="29"/>
      <c r="F549" s="29"/>
      <c r="G549" s="43"/>
      <c r="H549" s="44"/>
      <c r="I549" s="31"/>
      <c r="J549" s="31"/>
      <c r="K549" s="31"/>
      <c r="L549" s="31"/>
      <c r="M549" s="31"/>
      <c r="N549" s="45"/>
      <c r="O549" s="31"/>
      <c r="P549" s="31"/>
      <c r="Q549" s="31"/>
      <c r="R549" s="45"/>
      <c r="S549" s="31"/>
    </row>
    <row r="550" spans="2:19" ht="18.75" x14ac:dyDescent="0.3">
      <c r="B550" s="29"/>
      <c r="C550" s="29"/>
      <c r="D550" s="56" t="s">
        <v>43</v>
      </c>
      <c r="E550" s="29"/>
      <c r="F550" s="29"/>
      <c r="G550" s="43"/>
      <c r="H550" s="44"/>
      <c r="I550" s="31"/>
      <c r="J550" s="31"/>
      <c r="K550" s="31"/>
      <c r="L550" s="31"/>
      <c r="M550" s="31"/>
      <c r="N550" s="45"/>
      <c r="O550" s="31"/>
      <c r="P550" s="31"/>
      <c r="Q550" s="31"/>
      <c r="R550" s="45"/>
      <c r="S550" s="31"/>
    </row>
    <row r="551" spans="2:19" ht="15.75" x14ac:dyDescent="0.25">
      <c r="B551" s="34">
        <v>1</v>
      </c>
      <c r="C551" s="34" t="s">
        <v>824</v>
      </c>
      <c r="D551" s="35" t="s">
        <v>825</v>
      </c>
      <c r="E551" s="36">
        <v>43646</v>
      </c>
      <c r="F551" s="37">
        <v>1387.3530000000001</v>
      </c>
      <c r="G551" s="38">
        <v>10</v>
      </c>
      <c r="H551" s="39">
        <f>+F551/G551</f>
        <v>138.7353</v>
      </c>
      <c r="I551" s="37">
        <v>-2352.6309999999999</v>
      </c>
      <c r="J551" s="37">
        <v>3424.902</v>
      </c>
      <c r="K551" s="37">
        <v>1.5289999999999999</v>
      </c>
      <c r="L551" s="37">
        <v>0.14299999999999999</v>
      </c>
      <c r="M551" s="37">
        <v>-244.285</v>
      </c>
      <c r="N551" s="39">
        <f>+M551-O551</f>
        <v>1.9000000000005457E-2</v>
      </c>
      <c r="O551" s="37">
        <v>-244.304</v>
      </c>
      <c r="P551" s="40">
        <v>0</v>
      </c>
      <c r="Q551" s="40">
        <v>0</v>
      </c>
      <c r="R551" s="41">
        <f>SUM(P551:Q551)</f>
        <v>0</v>
      </c>
      <c r="S551" s="42">
        <v>6470</v>
      </c>
    </row>
    <row r="552" spans="2:19" ht="15.75" x14ac:dyDescent="0.25">
      <c r="B552" s="29"/>
      <c r="C552" s="29"/>
      <c r="D552" s="29"/>
      <c r="E552" s="29"/>
      <c r="F552" s="29"/>
      <c r="G552" s="43"/>
      <c r="H552" s="44"/>
      <c r="I552" s="31"/>
      <c r="J552" s="31"/>
      <c r="K552" s="31"/>
      <c r="L552" s="31"/>
      <c r="M552" s="31"/>
      <c r="N552" s="45"/>
      <c r="O552" s="31"/>
      <c r="P552" s="31"/>
      <c r="Q552" s="31"/>
      <c r="R552" s="45"/>
      <c r="S552" s="31"/>
    </row>
    <row r="553" spans="2:19" ht="15.75" x14ac:dyDescent="0.25">
      <c r="B553" s="34">
        <f>COUNT(B538:B552)</f>
        <v>12</v>
      </c>
      <c r="C553" s="34"/>
      <c r="D553" s="48"/>
      <c r="E553" s="48"/>
      <c r="F553" s="48">
        <f>SUM(F538:F552)</f>
        <v>8027.2412200000008</v>
      </c>
      <c r="G553" s="49"/>
      <c r="H553" s="50">
        <f t="shared" ref="H553:O553" si="114">SUM(H538:H552)</f>
        <v>831.70622200000003</v>
      </c>
      <c r="I553" s="48">
        <f t="shared" si="114"/>
        <v>117768.077276</v>
      </c>
      <c r="J553" s="48">
        <f t="shared" si="114"/>
        <v>265546.78628100001</v>
      </c>
      <c r="K553" s="48">
        <f t="shared" si="114"/>
        <v>536005.05912999995</v>
      </c>
      <c r="L553" s="48">
        <f t="shared" si="114"/>
        <v>4875.9727900000007</v>
      </c>
      <c r="M553" s="48">
        <f t="shared" si="114"/>
        <v>30135.271184000005</v>
      </c>
      <c r="N553" s="51">
        <f t="shared" si="114"/>
        <v>8693.5215150000004</v>
      </c>
      <c r="O553" s="48">
        <f t="shared" si="114"/>
        <v>21441.749668999993</v>
      </c>
      <c r="P553" s="52"/>
      <c r="Q553" s="52"/>
      <c r="R553" s="53"/>
      <c r="S553" s="54">
        <f>SUM(S538:S552)</f>
        <v>54406</v>
      </c>
    </row>
    <row r="554" spans="2:19" ht="15.75" x14ac:dyDescent="0.25">
      <c r="B554" s="29"/>
      <c r="C554" s="29"/>
      <c r="D554" s="29"/>
      <c r="E554" s="29"/>
      <c r="F554" s="29"/>
      <c r="G554" s="43"/>
      <c r="H554" s="44"/>
      <c r="I554" s="31"/>
      <c r="J554" s="31"/>
      <c r="K554" s="31"/>
      <c r="L554" s="31"/>
      <c r="M554" s="31"/>
      <c r="N554" s="45"/>
      <c r="O554" s="31"/>
      <c r="P554" s="31"/>
      <c r="Q554" s="31"/>
      <c r="R554" s="45"/>
      <c r="S554" s="31"/>
    </row>
    <row r="555" spans="2:19" ht="15.75" x14ac:dyDescent="0.25">
      <c r="B555" s="29"/>
      <c r="C555" s="29"/>
      <c r="D555" s="29"/>
      <c r="E555" s="29"/>
      <c r="F555" s="29"/>
      <c r="G555" s="43"/>
      <c r="H555" s="44"/>
      <c r="I555" s="31"/>
      <c r="J555" s="31"/>
      <c r="K555" s="31"/>
      <c r="L555" s="31"/>
      <c r="M555" s="31"/>
      <c r="N555" s="45"/>
      <c r="O555" s="31"/>
      <c r="P555" s="31"/>
      <c r="Q555" s="31"/>
      <c r="R555" s="45"/>
      <c r="S555" s="31"/>
    </row>
    <row r="556" spans="2:19" ht="18.75" x14ac:dyDescent="0.3">
      <c r="B556" s="29"/>
      <c r="C556" s="33">
        <v>23</v>
      </c>
      <c r="D556" s="33" t="s">
        <v>826</v>
      </c>
      <c r="E556" s="61"/>
      <c r="F556" s="61"/>
      <c r="G556" s="43"/>
      <c r="H556" s="44"/>
      <c r="I556" s="31"/>
      <c r="J556" s="31"/>
      <c r="K556" s="31"/>
      <c r="L556" s="31"/>
      <c r="M556" s="31"/>
      <c r="N556" s="45"/>
      <c r="O556" s="31"/>
      <c r="P556" s="31"/>
      <c r="Q556" s="31"/>
      <c r="R556" s="45"/>
      <c r="S556" s="31"/>
    </row>
    <row r="557" spans="2:19" ht="15.75" x14ac:dyDescent="0.25">
      <c r="B557" s="29"/>
      <c r="C557" s="29"/>
      <c r="D557" s="29"/>
      <c r="E557" s="29"/>
      <c r="F557" s="29"/>
      <c r="G557" s="43"/>
      <c r="H557" s="44"/>
      <c r="I557" s="31"/>
      <c r="J557" s="31"/>
      <c r="K557" s="31"/>
      <c r="L557" s="31"/>
      <c r="M557" s="31"/>
      <c r="N557" s="45"/>
      <c r="O557" s="31"/>
      <c r="P557" s="31"/>
      <c r="Q557" s="31"/>
      <c r="R557" s="45"/>
      <c r="S557" s="31"/>
    </row>
    <row r="558" spans="2:19" ht="15.75" x14ac:dyDescent="0.25">
      <c r="B558" s="34">
        <v>1</v>
      </c>
      <c r="C558" s="34" t="s">
        <v>827</v>
      </c>
      <c r="D558" s="35" t="s">
        <v>828</v>
      </c>
      <c r="E558" s="36">
        <v>43646</v>
      </c>
      <c r="F558" s="37">
        <v>144</v>
      </c>
      <c r="G558" s="38">
        <v>5</v>
      </c>
      <c r="H558" s="39">
        <f t="shared" ref="H558:H564" si="115">+F558/G558</f>
        <v>28.8</v>
      </c>
      <c r="I558" s="37">
        <v>4142.7979999999998</v>
      </c>
      <c r="J558" s="37">
        <v>4668.9780000000001</v>
      </c>
      <c r="K558" s="37">
        <v>7122.4870000000001</v>
      </c>
      <c r="L558" s="37">
        <v>0.314</v>
      </c>
      <c r="M558" s="37">
        <v>805.39099999999996</v>
      </c>
      <c r="N558" s="39">
        <f t="shared" ref="N558:N564" si="116">+M558-O558</f>
        <v>202.37900000000002</v>
      </c>
      <c r="O558" s="37">
        <v>603.01199999999994</v>
      </c>
      <c r="P558" s="40">
        <f>60+140</f>
        <v>200</v>
      </c>
      <c r="Q558" s="40">
        <v>0</v>
      </c>
      <c r="R558" s="41">
        <f t="shared" ref="R558:R564" si="117">SUM(P558:Q558)</f>
        <v>200</v>
      </c>
      <c r="S558" s="42">
        <v>3443</v>
      </c>
    </row>
    <row r="559" spans="2:19" ht="15.75" x14ac:dyDescent="0.25">
      <c r="B559" s="34">
        <f t="shared" ref="B559:B564" si="118">+B558+1</f>
        <v>2</v>
      </c>
      <c r="C559" s="34" t="s">
        <v>829</v>
      </c>
      <c r="D559" s="35" t="s">
        <v>830</v>
      </c>
      <c r="E559" s="36">
        <v>43646</v>
      </c>
      <c r="F559" s="37">
        <v>243.59700000000001</v>
      </c>
      <c r="G559" s="38">
        <v>10</v>
      </c>
      <c r="H559" s="39">
        <f t="shared" si="115"/>
        <v>24.3597</v>
      </c>
      <c r="I559" s="37">
        <v>5281.009</v>
      </c>
      <c r="J559" s="37">
        <v>8211.9179999999997</v>
      </c>
      <c r="K559" s="37">
        <v>12773.112999999999</v>
      </c>
      <c r="L559" s="37">
        <v>213.22200000000001</v>
      </c>
      <c r="M559" s="37">
        <v>-424.79</v>
      </c>
      <c r="N559" s="39">
        <f t="shared" si="116"/>
        <v>167.67299999999994</v>
      </c>
      <c r="O559" s="37">
        <v>-592.46299999999997</v>
      </c>
      <c r="P559" s="40">
        <v>0</v>
      </c>
      <c r="Q559" s="40">
        <v>0</v>
      </c>
      <c r="R559" s="41">
        <f t="shared" si="117"/>
        <v>0</v>
      </c>
      <c r="S559" s="42">
        <v>2004</v>
      </c>
    </row>
    <row r="560" spans="2:19" ht="15.75" x14ac:dyDescent="0.25">
      <c r="B560" s="34">
        <f t="shared" si="118"/>
        <v>3</v>
      </c>
      <c r="C560" s="34" t="s">
        <v>831</v>
      </c>
      <c r="D560" s="35" t="s">
        <v>832</v>
      </c>
      <c r="E560" s="36">
        <v>43646</v>
      </c>
      <c r="F560" s="37">
        <v>133.34299999999999</v>
      </c>
      <c r="G560" s="38">
        <v>10</v>
      </c>
      <c r="H560" s="39">
        <f t="shared" si="115"/>
        <v>13.334299999999999</v>
      </c>
      <c r="I560" s="37">
        <v>1288.019</v>
      </c>
      <c r="J560" s="37">
        <v>1473.55</v>
      </c>
      <c r="K560" s="37">
        <v>1587.558</v>
      </c>
      <c r="L560" s="37">
        <v>6.7910000000000004</v>
      </c>
      <c r="M560" s="37">
        <v>93.954999999999998</v>
      </c>
      <c r="N560" s="39">
        <f t="shared" si="116"/>
        <v>22.442999999999998</v>
      </c>
      <c r="O560" s="37">
        <v>71.512</v>
      </c>
      <c r="P560" s="40">
        <v>20</v>
      </c>
      <c r="Q560" s="40">
        <v>0</v>
      </c>
      <c r="R560" s="41">
        <f t="shared" si="117"/>
        <v>20</v>
      </c>
      <c r="S560" s="42">
        <v>1365</v>
      </c>
    </row>
    <row r="561" spans="2:19" ht="15.75" x14ac:dyDescent="0.25">
      <c r="B561" s="34">
        <f t="shared" si="118"/>
        <v>4</v>
      </c>
      <c r="C561" s="34" t="s">
        <v>833</v>
      </c>
      <c r="D561" s="35" t="s">
        <v>834</v>
      </c>
      <c r="E561" s="36">
        <v>43555</v>
      </c>
      <c r="F561" s="37">
        <v>77.686000000000007</v>
      </c>
      <c r="G561" s="38">
        <v>10</v>
      </c>
      <c r="H561" s="39">
        <f t="shared" si="115"/>
        <v>7.7686000000000011</v>
      </c>
      <c r="I561" s="37">
        <v>3780.87</v>
      </c>
      <c r="J561" s="37">
        <v>8556.0630000000001</v>
      </c>
      <c r="K561" s="37">
        <v>9506.5789999999997</v>
      </c>
      <c r="L561" s="37">
        <v>259.10599999999999</v>
      </c>
      <c r="M561" s="37">
        <v>-410.83800000000002</v>
      </c>
      <c r="N561" s="39">
        <f t="shared" si="116"/>
        <v>93.673000000000002</v>
      </c>
      <c r="O561" s="37">
        <v>-504.51100000000002</v>
      </c>
      <c r="P561" s="40">
        <v>0</v>
      </c>
      <c r="Q561" s="40">
        <v>0</v>
      </c>
      <c r="R561" s="41">
        <f t="shared" si="117"/>
        <v>0</v>
      </c>
      <c r="S561" s="42">
        <v>2107</v>
      </c>
    </row>
    <row r="562" spans="2:19" ht="15.75" x14ac:dyDescent="0.25">
      <c r="B562" s="34">
        <f t="shared" si="118"/>
        <v>5</v>
      </c>
      <c r="C562" s="34" t="s">
        <v>835</v>
      </c>
      <c r="D562" s="35" t="s">
        <v>836</v>
      </c>
      <c r="E562" s="36">
        <v>43646</v>
      </c>
      <c r="F562" s="37">
        <v>1016.112</v>
      </c>
      <c r="G562" s="38">
        <v>10</v>
      </c>
      <c r="H562" s="39">
        <f t="shared" si="115"/>
        <v>101.6112</v>
      </c>
      <c r="I562" s="37">
        <v>3340.7820000000002</v>
      </c>
      <c r="J562" s="37">
        <v>12475.052</v>
      </c>
      <c r="K562" s="37">
        <v>10486.281999999999</v>
      </c>
      <c r="L562" s="37">
        <v>585.03200000000004</v>
      </c>
      <c r="M562" s="37">
        <v>253.637</v>
      </c>
      <c r="N562" s="39">
        <f t="shared" si="116"/>
        <v>130.761</v>
      </c>
      <c r="O562" s="37">
        <v>122.876</v>
      </c>
      <c r="P562" s="40">
        <v>0</v>
      </c>
      <c r="Q562" s="40">
        <v>20</v>
      </c>
      <c r="R562" s="41">
        <f t="shared" si="117"/>
        <v>20</v>
      </c>
      <c r="S562" s="42">
        <v>5552</v>
      </c>
    </row>
    <row r="563" spans="2:19" ht="15.75" x14ac:dyDescent="0.25">
      <c r="B563" s="34">
        <f t="shared" si="118"/>
        <v>6</v>
      </c>
      <c r="C563" s="34" t="s">
        <v>837</v>
      </c>
      <c r="D563" s="35" t="s">
        <v>838</v>
      </c>
      <c r="E563" s="36">
        <v>43646</v>
      </c>
      <c r="F563" s="37">
        <v>1512.5</v>
      </c>
      <c r="G563" s="38">
        <v>10</v>
      </c>
      <c r="H563" s="39">
        <f t="shared" si="115"/>
        <v>151.25</v>
      </c>
      <c r="I563" s="37">
        <v>2866.7102839999998</v>
      </c>
      <c r="J563" s="37">
        <v>5438.8409670000001</v>
      </c>
      <c r="K563" s="37">
        <v>5709.7351749999998</v>
      </c>
      <c r="L563" s="37">
        <v>247.32294400000001</v>
      </c>
      <c r="M563" s="37">
        <v>132.99699000000001</v>
      </c>
      <c r="N563" s="39">
        <f t="shared" si="116"/>
        <v>91.768436000000008</v>
      </c>
      <c r="O563" s="37">
        <v>41.228554000000003</v>
      </c>
      <c r="P563" s="40">
        <v>0</v>
      </c>
      <c r="Q563" s="40">
        <v>0</v>
      </c>
      <c r="R563" s="41">
        <f t="shared" ref="R563" si="119">SUM(P563:Q563)</f>
        <v>0</v>
      </c>
      <c r="S563" s="42">
        <v>9360</v>
      </c>
    </row>
    <row r="564" spans="2:19" ht="15.75" x14ac:dyDescent="0.25">
      <c r="B564" s="34">
        <f t="shared" si="118"/>
        <v>7</v>
      </c>
      <c r="C564" s="34" t="s">
        <v>839</v>
      </c>
      <c r="D564" s="35" t="s">
        <v>840</v>
      </c>
      <c r="E564" s="36">
        <v>43646</v>
      </c>
      <c r="F564" s="37">
        <v>405.15</v>
      </c>
      <c r="G564" s="38">
        <v>5</v>
      </c>
      <c r="H564" s="39">
        <f t="shared" si="115"/>
        <v>81.03</v>
      </c>
      <c r="I564" s="37">
        <v>18631.458999999999</v>
      </c>
      <c r="J564" s="37">
        <v>21222.629000000001</v>
      </c>
      <c r="K564" s="37">
        <v>22374.364000000001</v>
      </c>
      <c r="L564" s="37">
        <v>9.8049999999999997</v>
      </c>
      <c r="M564" s="37">
        <v>4334.6419999999998</v>
      </c>
      <c r="N564" s="39">
        <f t="shared" si="116"/>
        <v>1179.9769999999999</v>
      </c>
      <c r="O564" s="37">
        <v>3154.665</v>
      </c>
      <c r="P564" s="40">
        <f>50+110</f>
        <v>160</v>
      </c>
      <c r="Q564" s="40">
        <v>0</v>
      </c>
      <c r="R564" s="41">
        <f t="shared" si="117"/>
        <v>160</v>
      </c>
      <c r="S564" s="42">
        <v>4503</v>
      </c>
    </row>
    <row r="565" spans="2:19" ht="15.75" x14ac:dyDescent="0.25">
      <c r="B565" s="29"/>
      <c r="C565" s="29"/>
      <c r="D565" s="29"/>
      <c r="E565" s="29"/>
      <c r="F565" s="29"/>
      <c r="G565" s="43"/>
      <c r="H565" s="44"/>
      <c r="I565" s="31"/>
      <c r="J565" s="31"/>
      <c r="K565" s="31"/>
      <c r="L565" s="31"/>
      <c r="M565" s="31"/>
      <c r="N565" s="45"/>
      <c r="O565" s="31"/>
      <c r="P565" s="31"/>
      <c r="Q565" s="31"/>
      <c r="R565" s="45"/>
      <c r="S565" s="31"/>
    </row>
    <row r="566" spans="2:19" ht="18.75" x14ac:dyDescent="0.3">
      <c r="B566" s="29"/>
      <c r="C566" s="29"/>
      <c r="D566" s="56" t="s">
        <v>43</v>
      </c>
      <c r="E566" s="29"/>
      <c r="F566" s="29"/>
      <c r="G566" s="43"/>
      <c r="H566" s="44"/>
      <c r="I566" s="31"/>
      <c r="J566" s="31"/>
      <c r="K566" s="31"/>
      <c r="L566" s="31"/>
      <c r="M566" s="31"/>
      <c r="N566" s="45"/>
      <c r="O566" s="31"/>
      <c r="P566" s="31"/>
      <c r="Q566" s="31"/>
      <c r="R566" s="45"/>
      <c r="S566" s="31"/>
    </row>
    <row r="567" spans="2:19" ht="15.75" x14ac:dyDescent="0.25">
      <c r="B567" s="34">
        <v>1</v>
      </c>
      <c r="C567" s="34" t="s">
        <v>841</v>
      </c>
      <c r="D567" s="35" t="s">
        <v>842</v>
      </c>
      <c r="E567" s="36">
        <v>43646</v>
      </c>
      <c r="F567" s="37">
        <v>58</v>
      </c>
      <c r="G567" s="38">
        <v>10</v>
      </c>
      <c r="H567" s="39">
        <f>+F567/G567</f>
        <v>5.8</v>
      </c>
      <c r="I567" s="37">
        <v>130.82332</v>
      </c>
      <c r="J567" s="37">
        <v>252.47371999999999</v>
      </c>
      <c r="K567" s="37">
        <v>1.4494450000000001</v>
      </c>
      <c r="L567" s="37">
        <v>1.593E-3</v>
      </c>
      <c r="M567" s="37">
        <v>-7.1414470000000003</v>
      </c>
      <c r="N567" s="39">
        <f>+M567-O567</f>
        <v>1.8117999999999412E-2</v>
      </c>
      <c r="O567" s="37">
        <v>-7.1595649999999997</v>
      </c>
      <c r="P567" s="40">
        <v>0</v>
      </c>
      <c r="Q567" s="40">
        <v>0</v>
      </c>
      <c r="R567" s="41">
        <f>SUM(P567:Q567)</f>
        <v>0</v>
      </c>
      <c r="S567" s="42">
        <v>4914</v>
      </c>
    </row>
    <row r="568" spans="2:19" ht="15.75" x14ac:dyDescent="0.25">
      <c r="B568" s="34">
        <f>+B567+1</f>
        <v>2</v>
      </c>
      <c r="C568" s="34" t="s">
        <v>843</v>
      </c>
      <c r="D568" s="35" t="s">
        <v>844</v>
      </c>
      <c r="E568" s="36">
        <v>43646</v>
      </c>
      <c r="F568" s="37">
        <v>214</v>
      </c>
      <c r="G568" s="38">
        <v>10</v>
      </c>
      <c r="H568" s="39">
        <f>+F568/G568</f>
        <v>21.4</v>
      </c>
      <c r="I568" s="37">
        <v>-1216.913</v>
      </c>
      <c r="J568" s="37">
        <v>274.90300000000002</v>
      </c>
      <c r="K568" s="37">
        <v>6.2510000000000003</v>
      </c>
      <c r="L568" s="37">
        <v>30.85</v>
      </c>
      <c r="M568" s="37">
        <v>-86.519000000000005</v>
      </c>
      <c r="N568" s="39">
        <f>+M568-O568</f>
        <v>-2.472999999999999</v>
      </c>
      <c r="O568" s="37">
        <v>-84.046000000000006</v>
      </c>
      <c r="P568" s="40">
        <v>0</v>
      </c>
      <c r="Q568" s="40">
        <v>0</v>
      </c>
      <c r="R568" s="41">
        <f>SUM(P568:Q568)</f>
        <v>0</v>
      </c>
      <c r="S568" s="42">
        <v>1158</v>
      </c>
    </row>
    <row r="569" spans="2:19" ht="15.75" x14ac:dyDescent="0.25">
      <c r="B569" s="29"/>
      <c r="C569" s="29"/>
      <c r="D569" s="29"/>
      <c r="E569" s="29"/>
      <c r="F569" s="29"/>
      <c r="G569" s="43"/>
      <c r="H569" s="44"/>
      <c r="I569" s="31"/>
      <c r="J569" s="31"/>
      <c r="K569" s="31"/>
      <c r="L569" s="31"/>
      <c r="M569" s="31"/>
      <c r="N569" s="45"/>
      <c r="O569" s="31"/>
      <c r="P569" s="31"/>
      <c r="Q569" s="31"/>
      <c r="R569" s="45"/>
      <c r="S569" s="31"/>
    </row>
    <row r="570" spans="2:19" ht="15.75" x14ac:dyDescent="0.25">
      <c r="B570" s="34">
        <f>COUNT(B558:B569)</f>
        <v>9</v>
      </c>
      <c r="C570" s="34"/>
      <c r="D570" s="48"/>
      <c r="E570" s="48"/>
      <c r="F570" s="48">
        <f>SUM(F558:F569)</f>
        <v>3804.3879999999999</v>
      </c>
      <c r="G570" s="49"/>
      <c r="H570" s="50">
        <f t="shared" ref="H570:O570" si="120">SUM(H558:H569)</f>
        <v>435.35380000000004</v>
      </c>
      <c r="I570" s="48">
        <f t="shared" si="120"/>
        <v>38245.557604000001</v>
      </c>
      <c r="J570" s="48">
        <f t="shared" si="120"/>
        <v>62574.407686999999</v>
      </c>
      <c r="K570" s="48">
        <f t="shared" si="120"/>
        <v>69567.81862000002</v>
      </c>
      <c r="L570" s="48">
        <f t="shared" si="120"/>
        <v>1352.4445370000001</v>
      </c>
      <c r="M570" s="48">
        <f t="shared" si="120"/>
        <v>4691.3335429999997</v>
      </c>
      <c r="N570" s="51">
        <f t="shared" si="120"/>
        <v>1886.2195539999998</v>
      </c>
      <c r="O570" s="48">
        <f t="shared" si="120"/>
        <v>2805.1139889999999</v>
      </c>
      <c r="P570" s="52"/>
      <c r="Q570" s="52"/>
      <c r="R570" s="53"/>
      <c r="S570" s="54">
        <f>SUM(S558:S569)</f>
        <v>34406</v>
      </c>
    </row>
    <row r="571" spans="2:19" ht="15.75" x14ac:dyDescent="0.25">
      <c r="B571" s="29"/>
      <c r="C571" s="29"/>
      <c r="D571" s="29"/>
      <c r="E571" s="29"/>
      <c r="F571" s="29"/>
      <c r="G571" s="43"/>
      <c r="H571" s="44"/>
      <c r="I571" s="31"/>
      <c r="J571" s="31"/>
      <c r="K571" s="31"/>
      <c r="L571" s="31"/>
      <c r="M571" s="31"/>
      <c r="N571" s="45"/>
      <c r="O571" s="31"/>
      <c r="P571" s="31"/>
      <c r="Q571" s="31"/>
      <c r="R571" s="45"/>
      <c r="S571" s="31"/>
    </row>
    <row r="572" spans="2:19" ht="15.75" x14ac:dyDescent="0.25">
      <c r="B572" s="29"/>
      <c r="C572" s="29"/>
      <c r="D572" s="29"/>
      <c r="E572" s="29"/>
      <c r="F572" s="29"/>
      <c r="G572" s="43"/>
      <c r="H572" s="44"/>
      <c r="I572" s="31"/>
      <c r="J572" s="31"/>
      <c r="K572" s="31"/>
      <c r="L572" s="31"/>
      <c r="M572" s="31"/>
      <c r="N572" s="45"/>
      <c r="O572" s="31"/>
      <c r="P572" s="31"/>
      <c r="Q572" s="31"/>
      <c r="R572" s="45"/>
      <c r="S572" s="31"/>
    </row>
    <row r="573" spans="2:19" ht="18.75" x14ac:dyDescent="0.3">
      <c r="B573" s="29"/>
      <c r="C573" s="33">
        <v>24</v>
      </c>
      <c r="D573" s="33" t="s">
        <v>845</v>
      </c>
      <c r="E573" s="61"/>
      <c r="F573" s="61"/>
      <c r="G573" s="43"/>
      <c r="H573" s="44"/>
      <c r="I573" s="31"/>
      <c r="J573" s="31"/>
      <c r="K573" s="31"/>
      <c r="L573" s="31"/>
      <c r="M573" s="31"/>
      <c r="N573" s="45"/>
      <c r="O573" s="31"/>
      <c r="P573" s="31"/>
      <c r="Q573" s="31"/>
      <c r="R573" s="45"/>
      <c r="S573" s="31"/>
    </row>
    <row r="574" spans="2:19" ht="15.75" x14ac:dyDescent="0.25">
      <c r="B574" s="29"/>
      <c r="C574" s="29"/>
      <c r="D574" s="29"/>
      <c r="E574" s="29"/>
      <c r="F574" s="29"/>
      <c r="G574" s="43"/>
      <c r="H574" s="44"/>
      <c r="I574" s="31"/>
      <c r="J574" s="31"/>
      <c r="K574" s="31"/>
      <c r="L574" s="31"/>
      <c r="M574" s="31"/>
      <c r="N574" s="45"/>
      <c r="O574" s="31"/>
      <c r="P574" s="31"/>
      <c r="Q574" s="31"/>
      <c r="R574" s="45"/>
      <c r="S574" s="31"/>
    </row>
    <row r="575" spans="2:19" ht="15.75" x14ac:dyDescent="0.25">
      <c r="B575" s="34">
        <v>1</v>
      </c>
      <c r="C575" s="34" t="s">
        <v>846</v>
      </c>
      <c r="D575" s="35" t="s">
        <v>847</v>
      </c>
      <c r="E575" s="36">
        <v>43646</v>
      </c>
      <c r="F575" s="37">
        <v>350</v>
      </c>
      <c r="G575" s="38">
        <v>10</v>
      </c>
      <c r="H575" s="39">
        <f t="shared" ref="H575:H579" si="121">+F575/G575</f>
        <v>35</v>
      </c>
      <c r="I575" s="37">
        <v>1165.821363</v>
      </c>
      <c r="J575" s="37">
        <v>2457.4639360000001</v>
      </c>
      <c r="K575" s="37">
        <v>1385.892713</v>
      </c>
      <c r="L575" s="37">
        <v>81.772306999999998</v>
      </c>
      <c r="M575" s="37">
        <v>138.74514300000001</v>
      </c>
      <c r="N575" s="39">
        <f t="shared" ref="N575:N579" si="122">+M575-O575</f>
        <v>-5.7942119999999875</v>
      </c>
      <c r="O575" s="37">
        <v>144.539355</v>
      </c>
      <c r="P575" s="40">
        <v>0</v>
      </c>
      <c r="Q575" s="40">
        <v>0</v>
      </c>
      <c r="R575" s="41">
        <f t="shared" ref="R575:R579" si="123">SUM(P575:Q575)</f>
        <v>0</v>
      </c>
      <c r="S575" s="42">
        <v>672</v>
      </c>
    </row>
    <row r="576" spans="2:19" ht="15.75" x14ac:dyDescent="0.25">
      <c r="B576" s="34">
        <f>+B575+1</f>
        <v>2</v>
      </c>
      <c r="C576" s="60" t="s">
        <v>848</v>
      </c>
      <c r="D576" s="35" t="s">
        <v>849</v>
      </c>
      <c r="E576" s="36">
        <v>43830</v>
      </c>
      <c r="F576" s="37">
        <v>4976.8159999999998</v>
      </c>
      <c r="G576" s="38">
        <v>10</v>
      </c>
      <c r="H576" s="39">
        <f t="shared" si="121"/>
        <v>497.6816</v>
      </c>
      <c r="I576" s="37">
        <v>23007.553</v>
      </c>
      <c r="J576" s="37">
        <v>42829.476000000002</v>
      </c>
      <c r="K576" s="37">
        <v>22349.749</v>
      </c>
      <c r="L576" s="37">
        <v>1539.8979999999999</v>
      </c>
      <c r="M576" s="37">
        <v>211.33600000000001</v>
      </c>
      <c r="N576" s="39">
        <f t="shared" si="122"/>
        <v>33.494</v>
      </c>
      <c r="O576" s="37">
        <v>177.84200000000001</v>
      </c>
      <c r="P576" s="40">
        <v>0</v>
      </c>
      <c r="Q576" s="40">
        <v>0</v>
      </c>
      <c r="R576" s="41">
        <f t="shared" si="123"/>
        <v>0</v>
      </c>
      <c r="S576" s="42">
        <v>11172</v>
      </c>
    </row>
    <row r="577" spans="2:19" ht="15.75" x14ac:dyDescent="0.25">
      <c r="B577" s="34">
        <f t="shared" ref="B577:B579" si="124">+B576+1</f>
        <v>3</v>
      </c>
      <c r="C577" s="34" t="s">
        <v>850</v>
      </c>
      <c r="D577" s="35" t="s">
        <v>851</v>
      </c>
      <c r="E577" s="36">
        <v>43646</v>
      </c>
      <c r="F577" s="37">
        <v>355.779</v>
      </c>
      <c r="G577" s="38">
        <v>10</v>
      </c>
      <c r="H577" s="39">
        <f t="shared" si="121"/>
        <v>35.5779</v>
      </c>
      <c r="I577" s="37">
        <v>4877.7910000000002</v>
      </c>
      <c r="J577" s="37">
        <v>8431.5540000000001</v>
      </c>
      <c r="K577" s="37">
        <v>9704.3109999999997</v>
      </c>
      <c r="L577" s="37">
        <v>188.6</v>
      </c>
      <c r="M577" s="37">
        <v>176.35900000000001</v>
      </c>
      <c r="N577" s="39">
        <f t="shared" si="122"/>
        <v>50.126000000000005</v>
      </c>
      <c r="O577" s="37">
        <v>126.233</v>
      </c>
      <c r="P577" s="40">
        <f>15+10</f>
        <v>25</v>
      </c>
      <c r="Q577" s="40">
        <v>0</v>
      </c>
      <c r="R577" s="41">
        <f t="shared" si="123"/>
        <v>25</v>
      </c>
      <c r="S577" s="42">
        <v>2123</v>
      </c>
    </row>
    <row r="578" spans="2:19" ht="15.75" x14ac:dyDescent="0.25">
      <c r="B578" s="34">
        <f t="shared" si="124"/>
        <v>4</v>
      </c>
      <c r="C578" s="34" t="s">
        <v>852</v>
      </c>
      <c r="D578" s="35" t="s">
        <v>853</v>
      </c>
      <c r="E578" s="36">
        <v>43738</v>
      </c>
      <c r="F578" s="37">
        <v>82.47</v>
      </c>
      <c r="G578" s="38">
        <v>10</v>
      </c>
      <c r="H578" s="39">
        <f t="shared" si="121"/>
        <v>8.2469999999999999</v>
      </c>
      <c r="I578" s="37">
        <v>5987.4440000000004</v>
      </c>
      <c r="J578" s="37">
        <v>16339.216</v>
      </c>
      <c r="K578" s="37">
        <v>16672.923999999999</v>
      </c>
      <c r="L578" s="37">
        <v>239.26499999999999</v>
      </c>
      <c r="M578" s="37">
        <v>1198.4870000000001</v>
      </c>
      <c r="N578" s="39">
        <f t="shared" si="122"/>
        <v>489.01900000000012</v>
      </c>
      <c r="O578" s="37">
        <v>709.46799999999996</v>
      </c>
      <c r="P578" s="40">
        <v>460</v>
      </c>
      <c r="Q578" s="40">
        <v>0</v>
      </c>
      <c r="R578" s="41">
        <f t="shared" si="123"/>
        <v>460</v>
      </c>
      <c r="S578" s="42">
        <v>1575</v>
      </c>
    </row>
    <row r="579" spans="2:19" ht="15.75" x14ac:dyDescent="0.25">
      <c r="B579" s="34">
        <f t="shared" si="124"/>
        <v>5</v>
      </c>
      <c r="C579" s="60" t="s">
        <v>854</v>
      </c>
      <c r="D579" s="35" t="s">
        <v>855</v>
      </c>
      <c r="E579" s="36">
        <v>43830</v>
      </c>
      <c r="F579" s="37">
        <v>1876.04</v>
      </c>
      <c r="G579" s="38">
        <v>10</v>
      </c>
      <c r="H579" s="39">
        <f t="shared" si="121"/>
        <v>187.60399999999998</v>
      </c>
      <c r="I579" s="37"/>
      <c r="J579" s="37"/>
      <c r="K579" s="37"/>
      <c r="L579" s="37"/>
      <c r="M579" s="37">
        <v>361.334</v>
      </c>
      <c r="N579" s="39">
        <f t="shared" si="122"/>
        <v>101.24900000000002</v>
      </c>
      <c r="O579" s="37">
        <v>260.08499999999998</v>
      </c>
      <c r="P579" s="40">
        <v>0</v>
      </c>
      <c r="Q579" s="40">
        <f>15</f>
        <v>15</v>
      </c>
      <c r="R579" s="41">
        <f t="shared" si="123"/>
        <v>15</v>
      </c>
      <c r="S579" s="42"/>
    </row>
    <row r="580" spans="2:19" ht="15.75" x14ac:dyDescent="0.25">
      <c r="B580" s="29"/>
      <c r="C580" s="29"/>
      <c r="D580" s="29"/>
      <c r="E580" s="29"/>
      <c r="F580" s="29"/>
      <c r="G580" s="43"/>
      <c r="H580" s="44"/>
      <c r="I580" s="31"/>
      <c r="J580" s="31"/>
      <c r="K580" s="31"/>
      <c r="L580" s="31"/>
      <c r="M580" s="31"/>
      <c r="N580" s="45"/>
      <c r="O580" s="31"/>
      <c r="P580" s="31"/>
      <c r="Q580" s="31"/>
      <c r="R580" s="45"/>
      <c r="S580" s="31"/>
    </row>
    <row r="581" spans="2:19" ht="18.75" x14ac:dyDescent="0.3">
      <c r="B581" s="29"/>
      <c r="C581" s="29"/>
      <c r="D581" s="56" t="s">
        <v>43</v>
      </c>
      <c r="E581" s="29"/>
      <c r="F581" s="29"/>
      <c r="G581" s="43"/>
      <c r="H581" s="44"/>
      <c r="I581" s="31"/>
      <c r="J581" s="31"/>
      <c r="K581" s="31"/>
      <c r="L581" s="31"/>
      <c r="M581" s="31"/>
      <c r="N581" s="45"/>
      <c r="O581" s="31"/>
      <c r="P581" s="31"/>
      <c r="Q581" s="31"/>
      <c r="R581" s="45"/>
      <c r="S581" s="31"/>
    </row>
    <row r="582" spans="2:19" ht="15.75" x14ac:dyDescent="0.25">
      <c r="B582" s="34">
        <v>1</v>
      </c>
      <c r="C582" s="34" t="s">
        <v>856</v>
      </c>
      <c r="D582" s="35" t="s">
        <v>857</v>
      </c>
      <c r="E582" s="36">
        <v>43646</v>
      </c>
      <c r="F582" s="37">
        <v>54.5</v>
      </c>
      <c r="G582" s="38">
        <v>10</v>
      </c>
      <c r="H582" s="39">
        <f>+F582/G582</f>
        <v>5.45</v>
      </c>
      <c r="I582" s="37">
        <v>152.16999999999999</v>
      </c>
      <c r="J582" s="37">
        <v>494.13900000000001</v>
      </c>
      <c r="K582" s="37">
        <v>4.0780000000000003</v>
      </c>
      <c r="L582" s="37">
        <v>8.3149999999999995</v>
      </c>
      <c r="M582" s="37">
        <v>-36.286999999999999</v>
      </c>
      <c r="N582" s="39">
        <f>+M582-O582</f>
        <v>-0.83699999999999619</v>
      </c>
      <c r="O582" s="37">
        <v>-35.450000000000003</v>
      </c>
      <c r="P582" s="40">
        <v>0</v>
      </c>
      <c r="Q582" s="40">
        <v>0</v>
      </c>
      <c r="R582" s="41">
        <f>SUM(P582:Q582)</f>
        <v>0</v>
      </c>
      <c r="S582" s="42">
        <v>1184</v>
      </c>
    </row>
    <row r="583" spans="2:19" ht="15.75" x14ac:dyDescent="0.25">
      <c r="B583" s="29"/>
      <c r="C583" s="29"/>
      <c r="D583" s="29"/>
      <c r="E583" s="29"/>
      <c r="F583" s="29"/>
      <c r="G583" s="43"/>
      <c r="H583" s="44"/>
      <c r="I583" s="31"/>
      <c r="J583" s="31"/>
      <c r="K583" s="31"/>
      <c r="L583" s="31"/>
      <c r="M583" s="31"/>
      <c r="N583" s="45"/>
      <c r="O583" s="31"/>
      <c r="P583" s="31"/>
      <c r="Q583" s="31"/>
      <c r="R583" s="45"/>
      <c r="S583" s="31"/>
    </row>
    <row r="584" spans="2:19" ht="15.75" x14ac:dyDescent="0.25">
      <c r="B584" s="34">
        <f>COUNT(B575:B583)</f>
        <v>6</v>
      </c>
      <c r="C584" s="34"/>
      <c r="D584" s="48"/>
      <c r="E584" s="48"/>
      <c r="F584" s="48">
        <f>SUM(F575:F583)</f>
        <v>7695.6049999999996</v>
      </c>
      <c r="G584" s="49"/>
      <c r="H584" s="50">
        <f t="shared" ref="H584:O584" si="125">SUM(H575:H583)</f>
        <v>769.56050000000005</v>
      </c>
      <c r="I584" s="48">
        <f t="shared" si="125"/>
        <v>35190.779363000001</v>
      </c>
      <c r="J584" s="48">
        <f t="shared" si="125"/>
        <v>70551.848935999995</v>
      </c>
      <c r="K584" s="48">
        <f t="shared" si="125"/>
        <v>50116.954712999999</v>
      </c>
      <c r="L584" s="48">
        <f t="shared" si="125"/>
        <v>2057.8503069999997</v>
      </c>
      <c r="M584" s="48">
        <f t="shared" si="125"/>
        <v>2049.9741430000004</v>
      </c>
      <c r="N584" s="51">
        <f t="shared" si="125"/>
        <v>667.25678800000014</v>
      </c>
      <c r="O584" s="48">
        <f t="shared" si="125"/>
        <v>1382.717355</v>
      </c>
      <c r="P584" s="52"/>
      <c r="Q584" s="52"/>
      <c r="R584" s="53"/>
      <c r="S584" s="54">
        <f>SUM(S575:S583)</f>
        <v>16726</v>
      </c>
    </row>
    <row r="585" spans="2:19" ht="15.75" x14ac:dyDescent="0.25">
      <c r="B585" s="29"/>
      <c r="C585" s="29"/>
      <c r="D585" s="29"/>
      <c r="E585" s="29"/>
      <c r="F585" s="29"/>
      <c r="G585" s="43"/>
      <c r="H585" s="44"/>
      <c r="I585" s="31"/>
      <c r="J585" s="31"/>
      <c r="K585" s="31"/>
      <c r="L585" s="31"/>
      <c r="M585" s="31"/>
      <c r="N585" s="45"/>
      <c r="O585" s="31"/>
      <c r="P585" s="31"/>
      <c r="Q585" s="31"/>
      <c r="R585" s="45"/>
      <c r="S585" s="31"/>
    </row>
    <row r="586" spans="2:19" ht="15.75" x14ac:dyDescent="0.25">
      <c r="B586" s="29"/>
      <c r="C586" s="29"/>
      <c r="D586" s="29"/>
      <c r="E586" s="29"/>
      <c r="F586" s="29"/>
      <c r="G586" s="43"/>
      <c r="H586" s="44"/>
      <c r="I586" s="31"/>
      <c r="J586" s="31"/>
      <c r="K586" s="31"/>
      <c r="L586" s="31"/>
      <c r="M586" s="31"/>
      <c r="N586" s="45"/>
      <c r="O586" s="31"/>
      <c r="P586" s="31"/>
      <c r="Q586" s="31"/>
      <c r="R586" s="45"/>
      <c r="S586" s="31"/>
    </row>
    <row r="587" spans="2:19" ht="18.75" x14ac:dyDescent="0.3">
      <c r="B587" s="29"/>
      <c r="C587" s="33">
        <v>25</v>
      </c>
      <c r="D587" s="33" t="s">
        <v>858</v>
      </c>
      <c r="E587" s="61"/>
      <c r="F587" s="61"/>
      <c r="G587" s="43"/>
      <c r="H587" s="44"/>
      <c r="I587" s="31"/>
      <c r="J587" s="31"/>
      <c r="K587" s="31"/>
      <c r="L587" s="31"/>
      <c r="M587" s="31"/>
      <c r="N587" s="45"/>
      <c r="O587" s="31"/>
      <c r="P587" s="31"/>
      <c r="Q587" s="31"/>
      <c r="R587" s="45"/>
      <c r="S587" s="31"/>
    </row>
    <row r="588" spans="2:19" ht="15.75" x14ac:dyDescent="0.25">
      <c r="B588" s="29"/>
      <c r="C588" s="29"/>
      <c r="D588" s="29"/>
      <c r="E588" s="29"/>
      <c r="F588" s="29"/>
      <c r="G588" s="43"/>
      <c r="H588" s="44"/>
      <c r="I588" s="31"/>
      <c r="J588" s="31"/>
      <c r="K588" s="31"/>
      <c r="L588" s="31"/>
      <c r="M588" s="31"/>
      <c r="N588" s="45"/>
      <c r="O588" s="31"/>
      <c r="P588" s="31"/>
      <c r="Q588" s="31"/>
      <c r="R588" s="45"/>
      <c r="S588" s="31"/>
    </row>
    <row r="589" spans="2:19" ht="15.75" x14ac:dyDescent="0.25">
      <c r="B589" s="60">
        <v>1</v>
      </c>
      <c r="C589" s="34" t="s">
        <v>859</v>
      </c>
      <c r="D589" s="35" t="s">
        <v>860</v>
      </c>
      <c r="E589" s="36">
        <v>43646</v>
      </c>
      <c r="F589" s="37">
        <v>17860.928</v>
      </c>
      <c r="G589" s="38">
        <v>10</v>
      </c>
      <c r="H589" s="39">
        <f>+F589/G589</f>
        <v>1786.0927999999999</v>
      </c>
      <c r="I589" s="37">
        <v>12911.262000000001</v>
      </c>
      <c r="J589" s="37">
        <v>29876.727999999999</v>
      </c>
      <c r="K589" s="37">
        <v>8004.3950000000004</v>
      </c>
      <c r="L589" s="37">
        <v>1823.296</v>
      </c>
      <c r="M589" s="37">
        <v>-2493.3310000000001</v>
      </c>
      <c r="N589" s="39">
        <f>+M589-O589</f>
        <v>-116.22900000000027</v>
      </c>
      <c r="O589" s="37">
        <v>-2377.1019999999999</v>
      </c>
      <c r="P589" s="40">
        <v>0</v>
      </c>
      <c r="Q589" s="40">
        <v>0</v>
      </c>
      <c r="R589" s="41">
        <f>SUM(P589:Q589)</f>
        <v>0</v>
      </c>
      <c r="S589" s="42">
        <v>22350</v>
      </c>
    </row>
    <row r="590" spans="2:19" ht="15.75" x14ac:dyDescent="0.25">
      <c r="B590" s="60">
        <f>+B589+1</f>
        <v>2</v>
      </c>
      <c r="C590" s="34" t="s">
        <v>861</v>
      </c>
      <c r="D590" s="35" t="s">
        <v>862</v>
      </c>
      <c r="E590" s="36">
        <v>43830</v>
      </c>
      <c r="F590" s="37">
        <v>1091.5319999999999</v>
      </c>
      <c r="G590" s="38">
        <v>10</v>
      </c>
      <c r="H590" s="39">
        <f>+F590/G590</f>
        <v>109.1532</v>
      </c>
      <c r="I590" s="37">
        <v>2843.73</v>
      </c>
      <c r="J590" s="37">
        <v>4596.32</v>
      </c>
      <c r="K590" s="37">
        <v>7927.1289999999999</v>
      </c>
      <c r="L590" s="37">
        <v>0.48899999999999999</v>
      </c>
      <c r="M590" s="37">
        <v>3011.0509999999999</v>
      </c>
      <c r="N590" s="39">
        <f>+M590-O590</f>
        <v>873.64399999999978</v>
      </c>
      <c r="O590" s="37">
        <v>2137.4070000000002</v>
      </c>
      <c r="P590" s="40">
        <f>40+40+25+75</f>
        <v>180</v>
      </c>
      <c r="Q590" s="40">
        <v>0</v>
      </c>
      <c r="R590" s="41">
        <f>SUM(P590:Q590)</f>
        <v>180</v>
      </c>
      <c r="S590" s="42">
        <v>2270</v>
      </c>
    </row>
    <row r="591" spans="2:19" ht="15.75" x14ac:dyDescent="0.25">
      <c r="B591" s="60">
        <f>+B590+1</f>
        <v>3</v>
      </c>
      <c r="C591" s="34" t="s">
        <v>863</v>
      </c>
      <c r="D591" s="35" t="s">
        <v>864</v>
      </c>
      <c r="E591" s="36">
        <v>43646</v>
      </c>
      <c r="F591" s="37">
        <v>1320.634</v>
      </c>
      <c r="G591" s="38">
        <v>10</v>
      </c>
      <c r="H591" s="39">
        <f>+F591/G591</f>
        <v>132.0634</v>
      </c>
      <c r="I591" s="37">
        <v>11919.146000000001</v>
      </c>
      <c r="J591" s="37">
        <v>51836.802000000003</v>
      </c>
      <c r="K591" s="37">
        <v>3230.0259999999998</v>
      </c>
      <c r="L591" s="37">
        <v>445.49</v>
      </c>
      <c r="M591" s="37">
        <v>559.60900000000004</v>
      </c>
      <c r="N591" s="39">
        <f>+M591-O591</f>
        <v>205.58500000000004</v>
      </c>
      <c r="O591" s="37">
        <v>354.024</v>
      </c>
      <c r="P591" s="40">
        <v>20</v>
      </c>
      <c r="Q591" s="40">
        <v>0</v>
      </c>
      <c r="R591" s="41">
        <f>SUM(P591:Q591)</f>
        <v>20</v>
      </c>
      <c r="S591" s="42">
        <v>16782</v>
      </c>
    </row>
    <row r="592" spans="2:19" ht="15.75" x14ac:dyDescent="0.25">
      <c r="B592" s="76"/>
      <c r="C592" s="62"/>
      <c r="D592" s="77"/>
      <c r="E592" s="64"/>
      <c r="F592" s="78"/>
      <c r="G592" s="43"/>
      <c r="H592" s="79"/>
      <c r="I592" s="78"/>
      <c r="J592" s="78"/>
      <c r="K592" s="78"/>
      <c r="L592" s="78"/>
      <c r="M592" s="78"/>
      <c r="N592" s="79"/>
      <c r="O592" s="78"/>
      <c r="P592" s="80"/>
      <c r="Q592" s="80"/>
      <c r="R592" s="81"/>
      <c r="S592" s="82"/>
    </row>
    <row r="593" spans="2:19" ht="18.75" x14ac:dyDescent="0.3">
      <c r="B593" s="76"/>
      <c r="C593" s="62"/>
      <c r="D593" s="56" t="s">
        <v>43</v>
      </c>
      <c r="E593" s="64"/>
      <c r="F593" s="78"/>
      <c r="G593" s="43"/>
      <c r="H593" s="79"/>
      <c r="I593" s="78"/>
      <c r="J593" s="78"/>
      <c r="K593" s="78"/>
      <c r="L593" s="78"/>
      <c r="M593" s="78"/>
      <c r="N593" s="79"/>
      <c r="O593" s="78"/>
      <c r="P593" s="80"/>
      <c r="Q593" s="80"/>
      <c r="R593" s="81"/>
      <c r="S593" s="82"/>
    </row>
    <row r="594" spans="2:19" ht="15.75" x14ac:dyDescent="0.25">
      <c r="B594" s="60">
        <v>1</v>
      </c>
      <c r="C594" s="60" t="s">
        <v>865</v>
      </c>
      <c r="D594" s="35" t="s">
        <v>866</v>
      </c>
      <c r="E594" s="36">
        <v>43830</v>
      </c>
      <c r="F594" s="37">
        <f>52337.61+7.5</f>
        <v>52345.11</v>
      </c>
      <c r="G594" s="38">
        <v>10</v>
      </c>
      <c r="H594" s="39">
        <f>+F594/G594</f>
        <v>5234.5110000000004</v>
      </c>
      <c r="I594" s="37">
        <v>-423258.05699999997</v>
      </c>
      <c r="J594" s="37">
        <v>154709.23199999999</v>
      </c>
      <c r="K594" s="37">
        <v>147500.12899999999</v>
      </c>
      <c r="L594" s="37">
        <v>35537.349000000002</v>
      </c>
      <c r="M594" s="37">
        <v>-54954.112000000001</v>
      </c>
      <c r="N594" s="39">
        <f>+M594-O594</f>
        <v>497.71899999999732</v>
      </c>
      <c r="O594" s="37">
        <v>-55451.830999999998</v>
      </c>
      <c r="P594" s="40">
        <v>0</v>
      </c>
      <c r="Q594" s="40">
        <v>0</v>
      </c>
      <c r="R594" s="41">
        <f>SUM(P594:Q594)</f>
        <v>0</v>
      </c>
      <c r="S594" s="42">
        <v>56837</v>
      </c>
    </row>
    <row r="595" spans="2:19" ht="15.75" x14ac:dyDescent="0.25">
      <c r="B595" s="29"/>
      <c r="C595" s="29"/>
      <c r="D595" s="29"/>
      <c r="E595" s="29"/>
      <c r="F595" s="29"/>
      <c r="G595" s="43"/>
      <c r="H595" s="44"/>
      <c r="I595" s="31"/>
      <c r="J595" s="31"/>
      <c r="K595" s="31"/>
      <c r="L595" s="31"/>
      <c r="M595" s="31"/>
      <c r="N595" s="45"/>
      <c r="O595" s="31"/>
      <c r="P595" s="31"/>
      <c r="Q595" s="31"/>
      <c r="R595" s="45"/>
      <c r="S595" s="31"/>
    </row>
    <row r="596" spans="2:19" ht="15.75" x14ac:dyDescent="0.25">
      <c r="B596" s="34">
        <f>COUNT(B589:B595)</f>
        <v>4</v>
      </c>
      <c r="C596" s="34"/>
      <c r="D596" s="48"/>
      <c r="E596" s="48"/>
      <c r="F596" s="48">
        <f>SUM(F589:F595)</f>
        <v>72618.203999999998</v>
      </c>
      <c r="G596" s="49"/>
      <c r="H596" s="50">
        <f t="shared" ref="H596:O596" si="126">SUM(H589:H595)</f>
        <v>7261.8204000000005</v>
      </c>
      <c r="I596" s="48">
        <f t="shared" si="126"/>
        <v>-395583.91899999999</v>
      </c>
      <c r="J596" s="48">
        <f t="shared" si="126"/>
        <v>241019.08199999999</v>
      </c>
      <c r="K596" s="48">
        <f t="shared" si="126"/>
        <v>166661.679</v>
      </c>
      <c r="L596" s="48">
        <f t="shared" si="126"/>
        <v>37806.624000000003</v>
      </c>
      <c r="M596" s="48">
        <f t="shared" si="126"/>
        <v>-53876.783000000003</v>
      </c>
      <c r="N596" s="51">
        <f t="shared" si="126"/>
        <v>1460.7189999999969</v>
      </c>
      <c r="O596" s="48">
        <f t="shared" si="126"/>
        <v>-55337.502</v>
      </c>
      <c r="P596" s="52"/>
      <c r="Q596" s="52"/>
      <c r="R596" s="53"/>
      <c r="S596" s="54">
        <f>SUM(S589:S595)</f>
        <v>98239</v>
      </c>
    </row>
    <row r="597" spans="2:19" ht="15.75" x14ac:dyDescent="0.25">
      <c r="B597" s="29"/>
      <c r="C597" s="29"/>
      <c r="D597" s="29"/>
      <c r="E597" s="29"/>
      <c r="F597" s="29"/>
      <c r="G597" s="43"/>
      <c r="H597" s="44"/>
      <c r="I597" s="31"/>
      <c r="J597" s="31"/>
      <c r="K597" s="31"/>
      <c r="L597" s="31"/>
      <c r="M597" s="31"/>
      <c r="N597" s="45"/>
      <c r="O597" s="31"/>
      <c r="P597" s="31"/>
      <c r="Q597" s="31"/>
      <c r="R597" s="45"/>
      <c r="S597" s="31"/>
    </row>
    <row r="598" spans="2:19" ht="15.75" x14ac:dyDescent="0.25">
      <c r="B598" s="29"/>
      <c r="C598" s="29"/>
      <c r="D598" s="29"/>
      <c r="E598" s="29"/>
      <c r="F598" s="29"/>
      <c r="G598" s="43"/>
      <c r="H598" s="44"/>
      <c r="I598" s="31"/>
      <c r="J598" s="31"/>
      <c r="K598" s="31"/>
      <c r="L598" s="31"/>
      <c r="M598" s="31"/>
      <c r="N598" s="45"/>
      <c r="O598" s="31"/>
      <c r="P598" s="31"/>
      <c r="Q598" s="31"/>
      <c r="R598" s="45"/>
      <c r="S598" s="31"/>
    </row>
    <row r="599" spans="2:19" ht="18.75" x14ac:dyDescent="0.3">
      <c r="B599" s="29"/>
      <c r="C599" s="33">
        <v>26</v>
      </c>
      <c r="D599" s="33" t="s">
        <v>867</v>
      </c>
      <c r="E599" s="61"/>
      <c r="F599" s="61"/>
      <c r="G599" s="43"/>
      <c r="H599" s="44"/>
      <c r="I599" s="31"/>
      <c r="J599" s="31"/>
      <c r="K599" s="31"/>
      <c r="L599" s="31"/>
      <c r="M599" s="31"/>
      <c r="N599" s="45"/>
      <c r="O599" s="31"/>
      <c r="P599" s="31"/>
      <c r="Q599" s="31"/>
      <c r="R599" s="45"/>
      <c r="S599" s="31"/>
    </row>
    <row r="600" spans="2:19" ht="15.75" x14ac:dyDescent="0.25">
      <c r="B600" s="29"/>
      <c r="C600" s="29"/>
      <c r="D600" s="29"/>
      <c r="E600" s="29"/>
      <c r="F600" s="29"/>
      <c r="G600" s="43"/>
      <c r="H600" s="44"/>
      <c r="I600" s="31"/>
      <c r="J600" s="31"/>
      <c r="K600" s="31"/>
      <c r="L600" s="31"/>
      <c r="M600" s="31"/>
      <c r="N600" s="45"/>
      <c r="O600" s="31"/>
      <c r="P600" s="31"/>
      <c r="Q600" s="31"/>
      <c r="R600" s="45"/>
      <c r="S600" s="31"/>
    </row>
    <row r="601" spans="2:19" ht="15.75" x14ac:dyDescent="0.25">
      <c r="B601" s="34">
        <v>1</v>
      </c>
      <c r="C601" s="34" t="s">
        <v>868</v>
      </c>
      <c r="D601" s="35" t="s">
        <v>869</v>
      </c>
      <c r="E601" s="36">
        <v>43830</v>
      </c>
      <c r="F601" s="37">
        <v>1925.364</v>
      </c>
      <c r="G601" s="38">
        <v>10</v>
      </c>
      <c r="H601" s="39">
        <f t="shared" ref="H601:H612" si="127">+F601/G601</f>
        <v>192.53640000000001</v>
      </c>
      <c r="I601" s="37">
        <v>3547.7240000000002</v>
      </c>
      <c r="J601" s="37">
        <v>4733.6809999999996</v>
      </c>
      <c r="K601" s="37">
        <f>1340.45+80.529</f>
        <v>1420.979</v>
      </c>
      <c r="L601" s="37">
        <v>61.874000000000002</v>
      </c>
      <c r="M601" s="37">
        <v>691.72699999999998</v>
      </c>
      <c r="N601" s="39">
        <f t="shared" ref="N601:N612" si="128">+M601-O601</f>
        <v>37.856999999999971</v>
      </c>
      <c r="O601" s="37">
        <v>653.87</v>
      </c>
      <c r="P601" s="40">
        <v>0</v>
      </c>
      <c r="Q601" s="40">
        <v>10</v>
      </c>
      <c r="R601" s="41">
        <f t="shared" ref="R601:R612" si="129">SUM(P601:Q601)</f>
        <v>10</v>
      </c>
      <c r="S601" s="42">
        <v>4417</v>
      </c>
    </row>
    <row r="602" spans="2:19" ht="15.75" x14ac:dyDescent="0.25">
      <c r="B602" s="34">
        <f>+B601+1</f>
        <v>2</v>
      </c>
      <c r="C602" s="34" t="s">
        <v>870</v>
      </c>
      <c r="D602" s="35" t="s">
        <v>871</v>
      </c>
      <c r="E602" s="36">
        <v>43646</v>
      </c>
      <c r="F602" s="37">
        <v>5</v>
      </c>
      <c r="G602" s="38">
        <v>10</v>
      </c>
      <c r="H602" s="39">
        <f>+F602/G602</f>
        <v>0.5</v>
      </c>
      <c r="I602" s="37">
        <v>6.62981</v>
      </c>
      <c r="J602" s="37">
        <v>8.2740179999999999</v>
      </c>
      <c r="K602" s="37">
        <v>18.121036</v>
      </c>
      <c r="L602" s="37">
        <v>0</v>
      </c>
      <c r="M602" s="37">
        <v>1.995323</v>
      </c>
      <c r="N602" s="39">
        <f>+M602-O602</f>
        <v>0.68087300000000006</v>
      </c>
      <c r="O602" s="37">
        <v>1.3144499999999999</v>
      </c>
      <c r="P602" s="40">
        <v>0</v>
      </c>
      <c r="Q602" s="40">
        <v>0</v>
      </c>
      <c r="R602" s="41">
        <f>SUM(P602:Q602)</f>
        <v>0</v>
      </c>
      <c r="S602" s="42">
        <v>351</v>
      </c>
    </row>
    <row r="603" spans="2:19" ht="15.75" x14ac:dyDescent="0.25">
      <c r="B603" s="34">
        <f t="shared" ref="B603:B612" si="130">+B602+1</f>
        <v>3</v>
      </c>
      <c r="C603" s="34" t="s">
        <v>872</v>
      </c>
      <c r="D603" s="35" t="s">
        <v>873</v>
      </c>
      <c r="E603" s="36">
        <v>43646</v>
      </c>
      <c r="F603" s="37">
        <v>945</v>
      </c>
      <c r="G603" s="38">
        <v>1</v>
      </c>
      <c r="H603" s="39">
        <f t="shared" si="127"/>
        <v>945</v>
      </c>
      <c r="I603" s="37">
        <v>3157.1208350000002</v>
      </c>
      <c r="J603" s="37">
        <v>5692.8752290000002</v>
      </c>
      <c r="K603" s="37">
        <v>3979.099138</v>
      </c>
      <c r="L603" s="37">
        <v>143.24378999999999</v>
      </c>
      <c r="M603" s="37">
        <v>-454.72555699999998</v>
      </c>
      <c r="N603" s="39">
        <f t="shared" si="128"/>
        <v>81.15753600000005</v>
      </c>
      <c r="O603" s="37">
        <v>-535.88309300000003</v>
      </c>
      <c r="P603" s="40">
        <v>0</v>
      </c>
      <c r="Q603" s="40">
        <v>0</v>
      </c>
      <c r="R603" s="41">
        <f t="shared" si="129"/>
        <v>0</v>
      </c>
      <c r="S603" s="42">
        <v>2507</v>
      </c>
    </row>
    <row r="604" spans="2:19" ht="15.75" x14ac:dyDescent="0.25">
      <c r="B604" s="34">
        <f t="shared" si="130"/>
        <v>4</v>
      </c>
      <c r="C604" s="34" t="s">
        <v>874</v>
      </c>
      <c r="D604" s="35" t="s">
        <v>875</v>
      </c>
      <c r="E604" s="36">
        <v>43646</v>
      </c>
      <c r="F604" s="37">
        <v>1788.5101</v>
      </c>
      <c r="G604" s="38">
        <v>10</v>
      </c>
      <c r="H604" s="39">
        <f t="shared" si="127"/>
        <v>178.85101</v>
      </c>
      <c r="I604" s="37">
        <v>-741.60050200000001</v>
      </c>
      <c r="J604" s="37">
        <v>326.19211799999999</v>
      </c>
      <c r="K604" s="37">
        <v>177.16582700000001</v>
      </c>
      <c r="L604" s="37">
        <v>52.457687999999997</v>
      </c>
      <c r="M604" s="37">
        <v>-243.68821299999999</v>
      </c>
      <c r="N604" s="39">
        <f t="shared" si="128"/>
        <v>0.81791100000000938</v>
      </c>
      <c r="O604" s="37">
        <v>-244.506124</v>
      </c>
      <c r="P604" s="40">
        <v>0</v>
      </c>
      <c r="Q604" s="40">
        <v>0</v>
      </c>
      <c r="R604" s="41">
        <f t="shared" si="129"/>
        <v>0</v>
      </c>
      <c r="S604" s="42">
        <v>2972</v>
      </c>
    </row>
    <row r="605" spans="2:19" ht="15.75" x14ac:dyDescent="0.25">
      <c r="B605" s="34">
        <f t="shared" si="130"/>
        <v>5</v>
      </c>
      <c r="C605" s="34" t="s">
        <v>876</v>
      </c>
      <c r="D605" s="35" t="s">
        <v>877</v>
      </c>
      <c r="E605" s="36">
        <v>43646</v>
      </c>
      <c r="F605" s="37">
        <v>897.22900000000004</v>
      </c>
      <c r="G605" s="38">
        <v>10</v>
      </c>
      <c r="H605" s="39">
        <f t="shared" si="127"/>
        <v>89.72290000000001</v>
      </c>
      <c r="I605" s="37">
        <v>6879.46</v>
      </c>
      <c r="J605" s="37">
        <v>9009.8590000000004</v>
      </c>
      <c r="K605" s="37">
        <v>5381.1959999999999</v>
      </c>
      <c r="L605" s="37">
        <v>39.779000000000003</v>
      </c>
      <c r="M605" s="37">
        <v>1318.616</v>
      </c>
      <c r="N605" s="39">
        <f t="shared" si="128"/>
        <v>75.132000000000062</v>
      </c>
      <c r="O605" s="37">
        <v>1243.4839999999999</v>
      </c>
      <c r="P605" s="40">
        <v>28</v>
      </c>
      <c r="Q605" s="40">
        <v>0</v>
      </c>
      <c r="R605" s="41">
        <f t="shared" si="129"/>
        <v>28</v>
      </c>
      <c r="S605" s="42">
        <v>3449</v>
      </c>
    </row>
    <row r="606" spans="2:19" ht="15.75" x14ac:dyDescent="0.25">
      <c r="B606" s="34">
        <f t="shared" si="130"/>
        <v>6</v>
      </c>
      <c r="C606" s="60" t="s">
        <v>878</v>
      </c>
      <c r="D606" s="35" t="s">
        <v>879</v>
      </c>
      <c r="E606" s="36">
        <v>43646</v>
      </c>
      <c r="F606" s="37">
        <v>98.01</v>
      </c>
      <c r="G606" s="38">
        <v>10</v>
      </c>
      <c r="H606" s="39">
        <f t="shared" si="127"/>
        <v>9.8010000000000002</v>
      </c>
      <c r="I606" s="37">
        <v>805.08773299999996</v>
      </c>
      <c r="J606" s="37">
        <v>1272.842099</v>
      </c>
      <c r="K606" s="37">
        <v>933.87623799999994</v>
      </c>
      <c r="L606" s="37">
        <v>1.8704190000000001</v>
      </c>
      <c r="M606" s="37">
        <v>143.72869700000001</v>
      </c>
      <c r="N606" s="39">
        <f t="shared" si="128"/>
        <v>55.266416000000007</v>
      </c>
      <c r="O606" s="37">
        <v>88.462281000000004</v>
      </c>
      <c r="P606" s="40">
        <v>40</v>
      </c>
      <c r="Q606" s="40">
        <v>0</v>
      </c>
      <c r="R606" s="41">
        <f t="shared" si="129"/>
        <v>40</v>
      </c>
      <c r="S606" s="42">
        <v>1962</v>
      </c>
    </row>
    <row r="607" spans="2:19" ht="15.75" x14ac:dyDescent="0.25">
      <c r="B607" s="34">
        <f t="shared" si="130"/>
        <v>7</v>
      </c>
      <c r="C607" s="60" t="s">
        <v>880</v>
      </c>
      <c r="D607" s="35" t="s">
        <v>881</v>
      </c>
      <c r="E607" s="36">
        <v>43830</v>
      </c>
      <c r="F607" s="37">
        <v>51000</v>
      </c>
      <c r="G607" s="38">
        <v>10</v>
      </c>
      <c r="H607" s="39">
        <f t="shared" si="127"/>
        <v>5100</v>
      </c>
      <c r="I607" s="37">
        <v>87751.379000000001</v>
      </c>
      <c r="J607" s="37">
        <v>209994.07800000001</v>
      </c>
      <c r="K607" s="37">
        <v>71548.301999999996</v>
      </c>
      <c r="L607" s="37">
        <v>317.77499999999998</v>
      </c>
      <c r="M607" s="37">
        <v>9331.2279999999992</v>
      </c>
      <c r="N607" s="39">
        <f t="shared" si="128"/>
        <v>2983.9929999999995</v>
      </c>
      <c r="O607" s="37">
        <v>6347.2349999999997</v>
      </c>
      <c r="P607" s="40">
        <f>5+5</f>
        <v>10</v>
      </c>
      <c r="Q607" s="40">
        <v>0</v>
      </c>
      <c r="R607" s="41">
        <f t="shared" si="129"/>
        <v>10</v>
      </c>
      <c r="S607" s="42">
        <v>42516</v>
      </c>
    </row>
    <row r="608" spans="2:19" ht="15.75" x14ac:dyDescent="0.25">
      <c r="B608" s="34">
        <f t="shared" si="130"/>
        <v>8</v>
      </c>
      <c r="C608" s="60" t="s">
        <v>882</v>
      </c>
      <c r="D608" s="35" t="s">
        <v>883</v>
      </c>
      <c r="E608" s="36">
        <v>43830</v>
      </c>
      <c r="F608" s="37">
        <v>1235.20299</v>
      </c>
      <c r="G608" s="38">
        <v>10</v>
      </c>
      <c r="H608" s="39">
        <f t="shared" si="127"/>
        <v>123.52029899999999</v>
      </c>
      <c r="I608" s="37">
        <v>5216.4663309999996</v>
      </c>
      <c r="J608" s="37">
        <v>6717.215682</v>
      </c>
      <c r="K608" s="37">
        <v>5348.5687420000004</v>
      </c>
      <c r="L608" s="37">
        <v>39.164417</v>
      </c>
      <c r="M608" s="37">
        <v>1392.672376</v>
      </c>
      <c r="N608" s="39">
        <f t="shared" si="128"/>
        <v>28.540666999999985</v>
      </c>
      <c r="O608" s="37">
        <v>1364.131709</v>
      </c>
      <c r="P608" s="40">
        <v>22.5</v>
      </c>
      <c r="Q608" s="40">
        <v>0</v>
      </c>
      <c r="R608" s="41">
        <f t="shared" si="129"/>
        <v>22.5</v>
      </c>
      <c r="S608" s="42">
        <v>2428</v>
      </c>
    </row>
    <row r="609" spans="2:19" ht="15.75" x14ac:dyDescent="0.25">
      <c r="B609" s="34">
        <f t="shared" si="130"/>
        <v>9</v>
      </c>
      <c r="C609" s="60" t="s">
        <v>884</v>
      </c>
      <c r="D609" s="35" t="s">
        <v>885</v>
      </c>
      <c r="E609" s="36">
        <v>43646</v>
      </c>
      <c r="F609" s="37">
        <v>3000</v>
      </c>
      <c r="G609" s="38">
        <v>10</v>
      </c>
      <c r="H609" s="39">
        <f t="shared" si="127"/>
        <v>300</v>
      </c>
      <c r="I609" s="37">
        <v>2156.66</v>
      </c>
      <c r="J609" s="37">
        <v>4467.982</v>
      </c>
      <c r="K609" s="37">
        <v>1091.181</v>
      </c>
      <c r="L609" s="37">
        <v>79.039000000000001</v>
      </c>
      <c r="M609" s="37">
        <v>-14.244999999999999</v>
      </c>
      <c r="N609" s="39">
        <f t="shared" si="128"/>
        <v>46.224000000000004</v>
      </c>
      <c r="O609" s="37">
        <v>-60.469000000000001</v>
      </c>
      <c r="P609" s="40">
        <v>0</v>
      </c>
      <c r="Q609" s="40">
        <v>0</v>
      </c>
      <c r="R609" s="41">
        <f t="shared" si="129"/>
        <v>0</v>
      </c>
      <c r="S609" s="42">
        <v>5009</v>
      </c>
    </row>
    <row r="610" spans="2:19" ht="15.75" x14ac:dyDescent="0.25">
      <c r="B610" s="34">
        <f t="shared" si="130"/>
        <v>10</v>
      </c>
      <c r="C610" s="34" t="s">
        <v>886</v>
      </c>
      <c r="D610" s="35" t="s">
        <v>887</v>
      </c>
      <c r="E610" s="36">
        <v>43646</v>
      </c>
      <c r="F610" s="37">
        <v>2672.9776299999999</v>
      </c>
      <c r="G610" s="38">
        <v>10</v>
      </c>
      <c r="H610" s="39">
        <f>+F610/G610</f>
        <v>267.29776299999997</v>
      </c>
      <c r="I610" s="37">
        <v>3540.2901019999999</v>
      </c>
      <c r="J610" s="37">
        <v>5674.3829159999996</v>
      </c>
      <c r="K610" s="37">
        <v>175.36125799999999</v>
      </c>
      <c r="L610" s="37">
        <v>177.94595200000001</v>
      </c>
      <c r="M610" s="37">
        <v>-129.121308</v>
      </c>
      <c r="N610" s="39">
        <f>+M610-O610</f>
        <v>26.212790000000012</v>
      </c>
      <c r="O610" s="37">
        <v>-155.33409800000001</v>
      </c>
      <c r="P610" s="40">
        <v>0</v>
      </c>
      <c r="Q610" s="40">
        <v>0</v>
      </c>
      <c r="R610" s="41">
        <f>SUM(P610:Q610)</f>
        <v>0</v>
      </c>
      <c r="S610" s="42">
        <v>4772</v>
      </c>
    </row>
    <row r="611" spans="2:19" ht="15.75" x14ac:dyDescent="0.25">
      <c r="B611" s="34">
        <f t="shared" si="130"/>
        <v>11</v>
      </c>
      <c r="C611" s="34" t="s">
        <v>888</v>
      </c>
      <c r="D611" s="35" t="s">
        <v>889</v>
      </c>
      <c r="E611" s="36">
        <v>43646</v>
      </c>
      <c r="F611" s="37">
        <v>5453.9070000000002</v>
      </c>
      <c r="G611" s="38">
        <v>10</v>
      </c>
      <c r="H611" s="39">
        <f t="shared" si="127"/>
        <v>545.39070000000004</v>
      </c>
      <c r="I611" s="37">
        <v>15153.739</v>
      </c>
      <c r="J611" s="37">
        <v>17974.035</v>
      </c>
      <c r="K611" s="37">
        <v>240.96899999999999</v>
      </c>
      <c r="L611" s="37">
        <v>0</v>
      </c>
      <c r="M611" s="37">
        <v>2.3929999999999998</v>
      </c>
      <c r="N611" s="39">
        <f t="shared" si="128"/>
        <v>0.53799999999999981</v>
      </c>
      <c r="O611" s="37">
        <v>1.855</v>
      </c>
      <c r="P611" s="40">
        <v>0</v>
      </c>
      <c r="Q611" s="40">
        <v>0</v>
      </c>
      <c r="R611" s="41">
        <f t="shared" si="129"/>
        <v>0</v>
      </c>
      <c r="S611" s="42">
        <v>8655</v>
      </c>
    </row>
    <row r="612" spans="2:19" ht="15.75" x14ac:dyDescent="0.25">
      <c r="B612" s="34">
        <f t="shared" si="130"/>
        <v>12</v>
      </c>
      <c r="C612" s="60" t="s">
        <v>890</v>
      </c>
      <c r="D612" s="35" t="s">
        <v>891</v>
      </c>
      <c r="E612" s="36">
        <v>43830</v>
      </c>
      <c r="F612" s="37">
        <v>18059.219000000001</v>
      </c>
      <c r="G612" s="38">
        <v>10</v>
      </c>
      <c r="H612" s="39">
        <f t="shared" si="127"/>
        <v>1805.9219000000001</v>
      </c>
      <c r="I612" s="37"/>
      <c r="J612" s="37"/>
      <c r="K612" s="37"/>
      <c r="L612" s="37"/>
      <c r="M612" s="37">
        <v>-194.774</v>
      </c>
      <c r="N612" s="39">
        <f t="shared" si="128"/>
        <v>-267.072</v>
      </c>
      <c r="O612" s="37">
        <v>72.298000000000002</v>
      </c>
      <c r="P612" s="40">
        <v>0</v>
      </c>
      <c r="Q612" s="40">
        <v>0</v>
      </c>
      <c r="R612" s="41">
        <f t="shared" si="129"/>
        <v>0</v>
      </c>
      <c r="S612" s="42"/>
    </row>
    <row r="613" spans="2:19" ht="15.75" x14ac:dyDescent="0.25">
      <c r="B613" s="29"/>
      <c r="C613" s="29"/>
      <c r="D613" s="29"/>
      <c r="E613" s="29"/>
      <c r="F613" s="29"/>
      <c r="G613" s="43"/>
      <c r="H613" s="44"/>
      <c r="I613" s="31"/>
      <c r="J613" s="31"/>
      <c r="K613" s="31"/>
      <c r="L613" s="31"/>
      <c r="M613" s="31"/>
      <c r="N613" s="45"/>
      <c r="O613" s="31"/>
      <c r="P613" s="31"/>
      <c r="Q613" s="31"/>
      <c r="R613" s="45"/>
      <c r="S613" s="31"/>
    </row>
    <row r="614" spans="2:19" ht="15.75" x14ac:dyDescent="0.25">
      <c r="B614" s="34">
        <f>COUNT(B601:B613)</f>
        <v>12</v>
      </c>
      <c r="C614" s="34"/>
      <c r="D614" s="48"/>
      <c r="E614" s="48"/>
      <c r="F614" s="48">
        <f>SUM(F601:F613)</f>
        <v>87080.419720000005</v>
      </c>
      <c r="G614" s="49"/>
      <c r="H614" s="50">
        <f t="shared" ref="H614:O614" si="131">SUM(H601:H613)</f>
        <v>9558.5419719999991</v>
      </c>
      <c r="I614" s="48">
        <f t="shared" si="131"/>
        <v>127472.956309</v>
      </c>
      <c r="J614" s="48">
        <f t="shared" si="131"/>
        <v>265871.41706200002</v>
      </c>
      <c r="K614" s="48">
        <f t="shared" si="131"/>
        <v>90314.819239000004</v>
      </c>
      <c r="L614" s="48">
        <f t="shared" si="131"/>
        <v>913.1492659999999</v>
      </c>
      <c r="M614" s="48">
        <f t="shared" si="131"/>
        <v>11845.806317999999</v>
      </c>
      <c r="N614" s="51">
        <f t="shared" si="131"/>
        <v>3069.3481929999998</v>
      </c>
      <c r="O614" s="48">
        <f t="shared" si="131"/>
        <v>8776.458125000001</v>
      </c>
      <c r="P614" s="52"/>
      <c r="Q614" s="52"/>
      <c r="R614" s="53"/>
      <c r="S614" s="54">
        <f>SUM(S601:S613)</f>
        <v>79038</v>
      </c>
    </row>
    <row r="615" spans="2:19" ht="15.75" x14ac:dyDescent="0.25">
      <c r="B615" s="29"/>
      <c r="C615" s="29"/>
      <c r="D615" s="29"/>
      <c r="E615" s="29"/>
      <c r="F615" s="29"/>
      <c r="G615" s="43"/>
      <c r="H615" s="44"/>
      <c r="I615" s="31"/>
      <c r="J615" s="31"/>
      <c r="K615" s="31"/>
      <c r="L615" s="31"/>
      <c r="M615" s="31"/>
      <c r="N615" s="45"/>
      <c r="O615" s="31"/>
      <c r="P615" s="31"/>
      <c r="Q615" s="31"/>
      <c r="R615" s="45"/>
      <c r="S615" s="31"/>
    </row>
    <row r="616" spans="2:19" ht="15.75" x14ac:dyDescent="0.25">
      <c r="B616" s="29"/>
      <c r="C616" s="29"/>
      <c r="D616" s="29"/>
      <c r="E616" s="29"/>
      <c r="F616" s="29"/>
      <c r="G616" s="43"/>
      <c r="H616" s="44"/>
      <c r="I616" s="31"/>
      <c r="J616" s="31"/>
      <c r="K616" s="31"/>
      <c r="L616" s="31"/>
      <c r="M616" s="31"/>
      <c r="N616" s="45"/>
      <c r="O616" s="31"/>
      <c r="P616" s="31"/>
      <c r="Q616" s="31"/>
      <c r="R616" s="45"/>
      <c r="S616" s="31"/>
    </row>
    <row r="617" spans="2:19" ht="18.75" x14ac:dyDescent="0.3">
      <c r="B617" s="29"/>
      <c r="C617" s="33">
        <v>27</v>
      </c>
      <c r="D617" s="33" t="s">
        <v>892</v>
      </c>
      <c r="E617" s="61"/>
      <c r="F617" s="61"/>
      <c r="G617" s="43"/>
      <c r="H617" s="44"/>
      <c r="I617" s="31"/>
      <c r="J617" s="31"/>
      <c r="K617" s="31"/>
      <c r="L617" s="31"/>
      <c r="M617" s="31"/>
      <c r="N617" s="45"/>
      <c r="O617" s="31"/>
      <c r="P617" s="31"/>
      <c r="Q617" s="31"/>
      <c r="R617" s="45"/>
      <c r="S617" s="31"/>
    </row>
    <row r="618" spans="2:19" ht="15.75" x14ac:dyDescent="0.25">
      <c r="B618" s="29"/>
      <c r="C618" s="29"/>
      <c r="D618" s="29"/>
      <c r="E618" s="29"/>
      <c r="F618" s="29"/>
      <c r="G618" s="43"/>
      <c r="H618" s="44"/>
      <c r="I618" s="31"/>
      <c r="J618" s="31"/>
      <c r="K618" s="31"/>
      <c r="L618" s="31"/>
      <c r="M618" s="31"/>
      <c r="N618" s="45"/>
      <c r="O618" s="31"/>
      <c r="P618" s="31"/>
      <c r="Q618" s="31"/>
      <c r="R618" s="45"/>
      <c r="S618" s="31"/>
    </row>
    <row r="619" spans="2:19" ht="15.75" x14ac:dyDescent="0.25">
      <c r="B619" s="60">
        <v>1</v>
      </c>
      <c r="C619" s="60" t="s">
        <v>893</v>
      </c>
      <c r="D619" s="35" t="s">
        <v>894</v>
      </c>
      <c r="E619" s="36">
        <v>43646</v>
      </c>
      <c r="F619" s="37">
        <v>4537.5</v>
      </c>
      <c r="G619" s="38">
        <v>10</v>
      </c>
      <c r="H619" s="39">
        <f t="shared" ref="H619:H624" si="132">+F619/G619</f>
        <v>453.75</v>
      </c>
      <c r="I619" s="37">
        <v>19877.951282999999</v>
      </c>
      <c r="J619" s="37">
        <v>26708.568579999999</v>
      </c>
      <c r="K619" s="37">
        <v>-603.17539199999999</v>
      </c>
      <c r="L619" s="37">
        <v>172.04038</v>
      </c>
      <c r="M619" s="37">
        <v>-901.78731300000004</v>
      </c>
      <c r="N619" s="39">
        <f t="shared" ref="N619:N624" si="133">+M619-O619</f>
        <v>62.053737999999953</v>
      </c>
      <c r="O619" s="37">
        <v>-963.84105099999999</v>
      </c>
      <c r="P619" s="40">
        <v>0</v>
      </c>
      <c r="Q619" s="40">
        <v>0</v>
      </c>
      <c r="R619" s="41">
        <f t="shared" ref="R619:R624" si="134">SUM(P619:Q619)</f>
        <v>0</v>
      </c>
      <c r="S619" s="42">
        <v>4046</v>
      </c>
    </row>
    <row r="620" spans="2:19" ht="15.75" x14ac:dyDescent="0.25">
      <c r="B620" s="60">
        <f>+B619+1</f>
        <v>2</v>
      </c>
      <c r="C620" s="60" t="s">
        <v>895</v>
      </c>
      <c r="D620" s="35" t="s">
        <v>896</v>
      </c>
      <c r="E620" s="36">
        <v>43830</v>
      </c>
      <c r="F620" s="37">
        <v>13352.993</v>
      </c>
      <c r="G620" s="38">
        <v>10</v>
      </c>
      <c r="H620" s="39">
        <f t="shared" si="132"/>
        <v>1335.2993000000001</v>
      </c>
      <c r="I620" s="37">
        <v>42852.561000000002</v>
      </c>
      <c r="J620" s="37">
        <v>129107.92600000001</v>
      </c>
      <c r="K620" s="37">
        <v>79236.923999999999</v>
      </c>
      <c r="L620" s="37">
        <v>3687.828</v>
      </c>
      <c r="M620" s="37">
        <v>27235.646000000001</v>
      </c>
      <c r="N620" s="39">
        <f t="shared" si="133"/>
        <v>8672.732</v>
      </c>
      <c r="O620" s="37">
        <v>18562.914000000001</v>
      </c>
      <c r="P620" s="40">
        <f>50+60+20</f>
        <v>130</v>
      </c>
      <c r="Q620" s="40">
        <v>0</v>
      </c>
      <c r="R620" s="41">
        <f t="shared" si="134"/>
        <v>130</v>
      </c>
      <c r="S620" s="42">
        <v>25535</v>
      </c>
    </row>
    <row r="621" spans="2:19" ht="15.75" x14ac:dyDescent="0.25">
      <c r="B621" s="60">
        <f t="shared" ref="B621:B624" si="135">+B620+1</f>
        <v>3</v>
      </c>
      <c r="C621" s="60" t="s">
        <v>897</v>
      </c>
      <c r="D621" s="35" t="s">
        <v>898</v>
      </c>
      <c r="E621" s="36">
        <v>43830</v>
      </c>
      <c r="F621" s="37">
        <v>5761.6329999999998</v>
      </c>
      <c r="G621" s="38">
        <v>10</v>
      </c>
      <c r="H621" s="39">
        <f t="shared" si="132"/>
        <v>576.16329999999994</v>
      </c>
      <c r="I621" s="37">
        <v>85096.740999999995</v>
      </c>
      <c r="J621" s="37">
        <v>94165.785999999993</v>
      </c>
      <c r="K621" s="37">
        <v>21892.463</v>
      </c>
      <c r="L621" s="37">
        <v>155.65899999999999</v>
      </c>
      <c r="M621" s="37">
        <v>16768.521000000001</v>
      </c>
      <c r="N621" s="39">
        <f t="shared" si="133"/>
        <v>2465.2030000000013</v>
      </c>
      <c r="O621" s="37">
        <v>14303.317999999999</v>
      </c>
      <c r="P621" s="40">
        <f>70+80+80+10</f>
        <v>240</v>
      </c>
      <c r="Q621" s="40">
        <v>0</v>
      </c>
      <c r="R621" s="41">
        <f t="shared" si="134"/>
        <v>240</v>
      </c>
      <c r="S621" s="42">
        <v>12251</v>
      </c>
    </row>
    <row r="622" spans="2:19" ht="15.75" x14ac:dyDescent="0.25">
      <c r="B622" s="60">
        <f t="shared" si="135"/>
        <v>4</v>
      </c>
      <c r="C622" s="60" t="s">
        <v>899</v>
      </c>
      <c r="D622" s="35" t="s">
        <v>900</v>
      </c>
      <c r="E622" s="36">
        <v>43830</v>
      </c>
      <c r="F622" s="37">
        <v>21000</v>
      </c>
      <c r="G622" s="38">
        <v>10</v>
      </c>
      <c r="H622" s="39">
        <f t="shared" si="132"/>
        <v>2100</v>
      </c>
      <c r="I622" s="37">
        <v>78008.297999999995</v>
      </c>
      <c r="J622" s="37">
        <v>155116.30499999999</v>
      </c>
      <c r="K622" s="37">
        <v>74964.214000000007</v>
      </c>
      <c r="L622" s="37">
        <v>3760.9090000000001</v>
      </c>
      <c r="M622" s="37">
        <v>17193.152999999998</v>
      </c>
      <c r="N622" s="39">
        <f t="shared" si="133"/>
        <v>5123.4709999999977</v>
      </c>
      <c r="O622" s="37">
        <v>12069.682000000001</v>
      </c>
      <c r="P622" s="40">
        <v>20</v>
      </c>
      <c r="Q622" s="40">
        <v>0</v>
      </c>
      <c r="R622" s="41">
        <f t="shared" si="134"/>
        <v>20</v>
      </c>
      <c r="S622" s="42">
        <v>10157</v>
      </c>
    </row>
    <row r="623" spans="2:19" ht="15.75" x14ac:dyDescent="0.25">
      <c r="B623" s="60">
        <f t="shared" si="135"/>
        <v>5</v>
      </c>
      <c r="C623" s="60" t="s">
        <v>901</v>
      </c>
      <c r="D623" s="35" t="s">
        <v>902</v>
      </c>
      <c r="E623" s="36">
        <v>43830</v>
      </c>
      <c r="F623" s="37">
        <v>9341.1</v>
      </c>
      <c r="G623" s="38">
        <v>10</v>
      </c>
      <c r="H623" s="39">
        <f t="shared" si="132"/>
        <v>934.11</v>
      </c>
      <c r="I623" s="37">
        <v>6833.9610000000002</v>
      </c>
      <c r="J623" s="37">
        <v>91166.569000000003</v>
      </c>
      <c r="K623" s="37">
        <v>66839.285999999993</v>
      </c>
      <c r="L623" s="37">
        <v>5198.6809999999996</v>
      </c>
      <c r="M623" s="37">
        <v>-3868.9070000000002</v>
      </c>
      <c r="N623" s="39">
        <f t="shared" si="133"/>
        <v>2051.8379999999997</v>
      </c>
      <c r="O623" s="37">
        <v>-5920.7449999999999</v>
      </c>
      <c r="P623" s="40">
        <v>0</v>
      </c>
      <c r="Q623" s="40">
        <v>0</v>
      </c>
      <c r="R623" s="41">
        <f t="shared" si="134"/>
        <v>0</v>
      </c>
      <c r="S623" s="42">
        <v>15161</v>
      </c>
    </row>
    <row r="624" spans="2:19" ht="15.75" x14ac:dyDescent="0.25">
      <c r="B624" s="60">
        <f t="shared" si="135"/>
        <v>6</v>
      </c>
      <c r="C624" s="60" t="s">
        <v>903</v>
      </c>
      <c r="D624" s="35" t="s">
        <v>904</v>
      </c>
      <c r="E624" s="36">
        <v>43830</v>
      </c>
      <c r="F624" s="37">
        <v>12722.382</v>
      </c>
      <c r="G624" s="38">
        <v>10</v>
      </c>
      <c r="H624" s="39">
        <f t="shared" si="132"/>
        <v>1272.2382</v>
      </c>
      <c r="I624" s="37">
        <v>35566.701000000001</v>
      </c>
      <c r="J624" s="37">
        <v>153389.85999999999</v>
      </c>
      <c r="K624" s="37">
        <v>105783.413</v>
      </c>
      <c r="L624" s="37">
        <v>2477.11</v>
      </c>
      <c r="M624" s="37">
        <v>23753.49</v>
      </c>
      <c r="N624" s="39">
        <f t="shared" si="133"/>
        <v>6643</v>
      </c>
      <c r="O624" s="37">
        <v>17110.490000000002</v>
      </c>
      <c r="P624" s="40">
        <f>25+28.5+22+32.5</f>
        <v>108</v>
      </c>
      <c r="Q624" s="40">
        <v>0</v>
      </c>
      <c r="R624" s="41">
        <f t="shared" si="134"/>
        <v>108</v>
      </c>
      <c r="S624" s="42">
        <v>15079</v>
      </c>
    </row>
    <row r="625" spans="2:19" ht="15.75" x14ac:dyDescent="0.25">
      <c r="B625" s="29"/>
      <c r="C625" s="29"/>
      <c r="D625" s="29"/>
      <c r="E625" s="29"/>
      <c r="F625" s="29"/>
      <c r="G625" s="43"/>
      <c r="H625" s="44"/>
      <c r="I625" s="31"/>
      <c r="J625" s="31"/>
      <c r="K625" s="31"/>
      <c r="L625" s="31"/>
      <c r="M625" s="31"/>
      <c r="N625" s="45"/>
      <c r="O625" s="31"/>
      <c r="P625" s="31"/>
      <c r="Q625" s="31"/>
      <c r="R625" s="45"/>
      <c r="S625" s="31"/>
    </row>
    <row r="626" spans="2:19" ht="15.75" x14ac:dyDescent="0.25">
      <c r="B626" s="34">
        <f>COUNT(B619:B625)</f>
        <v>6</v>
      </c>
      <c r="C626" s="34"/>
      <c r="D626" s="48"/>
      <c r="E626" s="48"/>
      <c r="F626" s="48">
        <f>SUM(F619:F625)</f>
        <v>66715.608000000007</v>
      </c>
      <c r="G626" s="49"/>
      <c r="H626" s="50">
        <f t="shared" ref="H626:O626" si="136">SUM(H619:H625)</f>
        <v>6671.5607999999993</v>
      </c>
      <c r="I626" s="48">
        <f t="shared" si="136"/>
        <v>268236.21328299999</v>
      </c>
      <c r="J626" s="48">
        <f t="shared" si="136"/>
        <v>649655.01457999996</v>
      </c>
      <c r="K626" s="48">
        <f t="shared" si="136"/>
        <v>348113.12460800004</v>
      </c>
      <c r="L626" s="48">
        <f t="shared" si="136"/>
        <v>15452.22738</v>
      </c>
      <c r="M626" s="48">
        <f t="shared" si="136"/>
        <v>80180.115686999998</v>
      </c>
      <c r="N626" s="51">
        <f t="shared" si="136"/>
        <v>25018.297738000001</v>
      </c>
      <c r="O626" s="48">
        <f t="shared" si="136"/>
        <v>55161.817949000004</v>
      </c>
      <c r="P626" s="52"/>
      <c r="Q626" s="52"/>
      <c r="R626" s="53"/>
      <c r="S626" s="54">
        <f>SUM(S619:S625)</f>
        <v>82229</v>
      </c>
    </row>
    <row r="627" spans="2:19" ht="15.75" x14ac:dyDescent="0.25">
      <c r="B627" s="29"/>
      <c r="C627" s="29"/>
      <c r="D627" s="29"/>
      <c r="E627" s="29"/>
      <c r="F627" s="29"/>
      <c r="G627" s="43"/>
      <c r="H627" s="44"/>
      <c r="I627" s="31"/>
      <c r="J627" s="31"/>
      <c r="K627" s="31"/>
      <c r="L627" s="31"/>
      <c r="M627" s="31"/>
      <c r="N627" s="45"/>
      <c r="O627" s="31"/>
      <c r="P627" s="31"/>
      <c r="Q627" s="31"/>
      <c r="R627" s="45"/>
      <c r="S627" s="31"/>
    </row>
    <row r="628" spans="2:19" ht="15.75" x14ac:dyDescent="0.25">
      <c r="B628" s="29"/>
      <c r="C628" s="29"/>
      <c r="D628" s="29"/>
      <c r="E628" s="29"/>
      <c r="F628" s="29"/>
      <c r="G628" s="43"/>
      <c r="H628" s="44"/>
      <c r="I628" s="31"/>
      <c r="J628" s="31"/>
      <c r="K628" s="31"/>
      <c r="L628" s="31"/>
      <c r="M628" s="31"/>
      <c r="N628" s="45"/>
      <c r="O628" s="31"/>
      <c r="P628" s="31"/>
      <c r="Q628" s="31"/>
      <c r="R628" s="45"/>
      <c r="S628" s="31"/>
    </row>
    <row r="629" spans="2:19" ht="18.75" x14ac:dyDescent="0.3">
      <c r="B629" s="29"/>
      <c r="C629" s="33">
        <v>28</v>
      </c>
      <c r="D629" s="33" t="s">
        <v>905</v>
      </c>
      <c r="E629" s="61"/>
      <c r="F629" s="61"/>
      <c r="G629" s="43"/>
      <c r="H629" s="44"/>
      <c r="I629" s="31"/>
      <c r="J629" s="31"/>
      <c r="K629" s="31"/>
      <c r="L629" s="31"/>
      <c r="M629" s="31"/>
      <c r="N629" s="45"/>
      <c r="O629" s="31"/>
      <c r="P629" s="31"/>
      <c r="Q629" s="31"/>
      <c r="R629" s="45"/>
      <c r="S629" s="31"/>
    </row>
    <row r="630" spans="2:19" ht="15.75" x14ac:dyDescent="0.25">
      <c r="B630" s="29"/>
      <c r="C630" s="29"/>
      <c r="D630" s="29"/>
      <c r="E630" s="29"/>
      <c r="F630" s="29"/>
      <c r="G630" s="43"/>
      <c r="H630" s="44"/>
      <c r="I630" s="31"/>
      <c r="J630" s="31"/>
      <c r="K630" s="31"/>
      <c r="L630" s="31"/>
      <c r="M630" s="31"/>
      <c r="N630" s="45"/>
      <c r="O630" s="31"/>
      <c r="P630" s="31"/>
      <c r="Q630" s="31"/>
      <c r="R630" s="45"/>
      <c r="S630" s="31"/>
    </row>
    <row r="631" spans="2:19" ht="15.75" x14ac:dyDescent="0.25">
      <c r="B631" s="34">
        <v>1</v>
      </c>
      <c r="C631" s="34" t="s">
        <v>906</v>
      </c>
      <c r="D631" s="35" t="s">
        <v>907</v>
      </c>
      <c r="E631" s="36">
        <v>43830</v>
      </c>
      <c r="F631" s="37">
        <v>979.00300000000004</v>
      </c>
      <c r="G631" s="38">
        <v>10</v>
      </c>
      <c r="H631" s="39">
        <f t="shared" ref="H631:H642" si="137">+F631/G631</f>
        <v>97.900300000000001</v>
      </c>
      <c r="I631" s="37">
        <v>13372.393</v>
      </c>
      <c r="J631" s="37">
        <v>20752.68</v>
      </c>
      <c r="K631" s="37">
        <v>30155.875</v>
      </c>
      <c r="L631" s="37">
        <v>53.09</v>
      </c>
      <c r="M631" s="37">
        <v>2510.741</v>
      </c>
      <c r="N631" s="39">
        <f t="shared" ref="N631:N642" si="138">+M631-O631</f>
        <v>1210.856</v>
      </c>
      <c r="O631" s="37">
        <v>1299.885</v>
      </c>
      <c r="P631" s="40">
        <v>75</v>
      </c>
      <c r="Q631" s="40">
        <v>0</v>
      </c>
      <c r="R631" s="41">
        <f t="shared" ref="R631:R642" si="139">SUM(P631:Q631)</f>
        <v>75</v>
      </c>
      <c r="S631" s="42">
        <v>2664</v>
      </c>
    </row>
    <row r="632" spans="2:19" ht="15.75" x14ac:dyDescent="0.25">
      <c r="B632" s="34">
        <f>+B631+1</f>
        <v>2</v>
      </c>
      <c r="C632" s="34" t="s">
        <v>908</v>
      </c>
      <c r="D632" s="35" t="s">
        <v>909</v>
      </c>
      <c r="E632" s="36">
        <v>43830</v>
      </c>
      <c r="F632" s="37">
        <v>2800</v>
      </c>
      <c r="G632" s="38">
        <v>10</v>
      </c>
      <c r="H632" s="39">
        <f t="shared" si="137"/>
        <v>280</v>
      </c>
      <c r="I632" s="37">
        <v>7462.8990000000003</v>
      </c>
      <c r="J632" s="37">
        <v>9601.6200000000008</v>
      </c>
      <c r="K632" s="37">
        <v>6253.2389999999996</v>
      </c>
      <c r="L632" s="37">
        <v>226.858</v>
      </c>
      <c r="M632" s="37">
        <v>1824.7829999999999</v>
      </c>
      <c r="N632" s="39">
        <f t="shared" si="138"/>
        <v>378.39499999999998</v>
      </c>
      <c r="O632" s="37">
        <v>1446.3879999999999</v>
      </c>
      <c r="P632" s="40">
        <f>12.5+20</f>
        <v>32.5</v>
      </c>
      <c r="Q632" s="40">
        <v>0</v>
      </c>
      <c r="R632" s="41">
        <f t="shared" ref="R632" si="140">SUM(P632:Q632)</f>
        <v>32.5</v>
      </c>
      <c r="S632" s="42">
        <v>3457</v>
      </c>
    </row>
    <row r="633" spans="2:19" ht="15.75" x14ac:dyDescent="0.25">
      <c r="B633" s="34">
        <f>+B632+1</f>
        <v>3</v>
      </c>
      <c r="C633" s="34" t="s">
        <v>910</v>
      </c>
      <c r="D633" s="35" t="s">
        <v>911</v>
      </c>
      <c r="E633" s="36">
        <v>43646</v>
      </c>
      <c r="F633" s="37">
        <v>301.86840999999998</v>
      </c>
      <c r="G633" s="38">
        <v>10</v>
      </c>
      <c r="H633" s="39">
        <f t="shared" si="137"/>
        <v>30.186840999999998</v>
      </c>
      <c r="I633" s="37">
        <v>4937.4271049999998</v>
      </c>
      <c r="J633" s="37">
        <v>6202.8468769999999</v>
      </c>
      <c r="K633" s="37">
        <v>5180.8035819999996</v>
      </c>
      <c r="L633" s="37">
        <v>23.429964999999999</v>
      </c>
      <c r="M633" s="37">
        <v>418.71779500000002</v>
      </c>
      <c r="N633" s="39">
        <f t="shared" si="138"/>
        <v>167.67211300000002</v>
      </c>
      <c r="O633" s="37">
        <v>251.045682</v>
      </c>
      <c r="P633" s="40">
        <f>20+40</f>
        <v>60</v>
      </c>
      <c r="Q633" s="40">
        <v>0</v>
      </c>
      <c r="R633" s="41">
        <f t="shared" si="139"/>
        <v>60</v>
      </c>
      <c r="S633" s="42">
        <v>4642</v>
      </c>
    </row>
    <row r="634" spans="2:19" ht="15.75" x14ac:dyDescent="0.25">
      <c r="B634" s="34">
        <f t="shared" ref="B634:B642" si="141">+B633+1</f>
        <v>4</v>
      </c>
      <c r="C634" s="34" t="s">
        <v>912</v>
      </c>
      <c r="D634" s="35" t="s">
        <v>913</v>
      </c>
      <c r="E634" s="36">
        <v>43830</v>
      </c>
      <c r="F634" s="37">
        <v>3184.672</v>
      </c>
      <c r="G634" s="38">
        <v>10</v>
      </c>
      <c r="H634" s="39">
        <f t="shared" si="137"/>
        <v>318.46719999999999</v>
      </c>
      <c r="I634" s="37">
        <v>16137.396000000001</v>
      </c>
      <c r="J634" s="37">
        <v>23219.101999999999</v>
      </c>
      <c r="K634" s="37">
        <v>36581.749000000003</v>
      </c>
      <c r="L634" s="37">
        <v>289.61099999999999</v>
      </c>
      <c r="M634" s="37">
        <v>4600.2960000000003</v>
      </c>
      <c r="N634" s="39">
        <f t="shared" si="138"/>
        <v>1559.1730000000002</v>
      </c>
      <c r="O634" s="37">
        <v>3041.123</v>
      </c>
      <c r="P634" s="40">
        <v>60</v>
      </c>
      <c r="Q634" s="40">
        <v>0</v>
      </c>
      <c r="R634" s="41">
        <f t="shared" si="139"/>
        <v>60</v>
      </c>
      <c r="S634" s="42">
        <v>7819</v>
      </c>
    </row>
    <row r="635" spans="2:19" ht="15.75" x14ac:dyDescent="0.25">
      <c r="B635" s="34">
        <f t="shared" si="141"/>
        <v>5</v>
      </c>
      <c r="C635" s="34" t="s">
        <v>914</v>
      </c>
      <c r="D635" s="35" t="s">
        <v>915</v>
      </c>
      <c r="E635" s="36">
        <v>43830</v>
      </c>
      <c r="F635" s="37">
        <v>1170.5450800000001</v>
      </c>
      <c r="G635" s="38">
        <v>10</v>
      </c>
      <c r="H635" s="39">
        <f t="shared" si="137"/>
        <v>117.05450800000001</v>
      </c>
      <c r="I635" s="37">
        <v>4500.6039350000001</v>
      </c>
      <c r="J635" s="37">
        <v>8982.6238109999995</v>
      </c>
      <c r="K635" s="37">
        <v>16316.744548999999</v>
      </c>
      <c r="L635" s="37">
        <v>192.365037</v>
      </c>
      <c r="M635" s="37">
        <v>1699.7779680000001</v>
      </c>
      <c r="N635" s="39">
        <f t="shared" si="138"/>
        <v>442.25915800000007</v>
      </c>
      <c r="O635" s="37">
        <v>1257.51881</v>
      </c>
      <c r="P635" s="40">
        <v>50</v>
      </c>
      <c r="Q635" s="40">
        <v>0</v>
      </c>
      <c r="R635" s="41">
        <f t="shared" ref="R635" si="142">SUM(P635:Q635)</f>
        <v>50</v>
      </c>
      <c r="S635" s="42">
        <v>4958</v>
      </c>
    </row>
    <row r="636" spans="2:19" ht="15.75" x14ac:dyDescent="0.25">
      <c r="B636" s="34">
        <f t="shared" si="141"/>
        <v>6</v>
      </c>
      <c r="C636" s="34" t="s">
        <v>916</v>
      </c>
      <c r="D636" s="35" t="s">
        <v>917</v>
      </c>
      <c r="E636" s="36">
        <v>43830</v>
      </c>
      <c r="F636" s="37">
        <v>314.68131</v>
      </c>
      <c r="G636" s="38">
        <v>10</v>
      </c>
      <c r="H636" s="39">
        <f t="shared" si="137"/>
        <v>31.468131</v>
      </c>
      <c r="I636" s="37">
        <v>3441.5615750000002</v>
      </c>
      <c r="J636" s="37">
        <v>4628.5710239999999</v>
      </c>
      <c r="K636" s="37">
        <v>9047.6928929999995</v>
      </c>
      <c r="L636" s="37">
        <v>23.920563000000001</v>
      </c>
      <c r="M636" s="37">
        <v>1341.0858949999999</v>
      </c>
      <c r="N636" s="39">
        <f t="shared" si="138"/>
        <v>370.07306999999992</v>
      </c>
      <c r="O636" s="37">
        <v>971.01282500000002</v>
      </c>
      <c r="P636" s="40">
        <v>130</v>
      </c>
      <c r="Q636" s="40">
        <v>10</v>
      </c>
      <c r="R636" s="41">
        <f t="shared" si="139"/>
        <v>140</v>
      </c>
      <c r="S636" s="42">
        <v>3377</v>
      </c>
    </row>
    <row r="637" spans="2:19" ht="15.75" x14ac:dyDescent="0.25">
      <c r="B637" s="34">
        <f t="shared" si="141"/>
        <v>7</v>
      </c>
      <c r="C637" s="34" t="s">
        <v>918</v>
      </c>
      <c r="D637" s="35" t="s">
        <v>919</v>
      </c>
      <c r="E637" s="36">
        <v>43646</v>
      </c>
      <c r="F637" s="37">
        <v>540.87699999999995</v>
      </c>
      <c r="G637" s="38">
        <v>10</v>
      </c>
      <c r="H637" s="39">
        <f>+F637/G637</f>
        <v>54.087699999999998</v>
      </c>
      <c r="I637" s="37">
        <v>1256.04</v>
      </c>
      <c r="J637" s="37">
        <v>1888.7660000000001</v>
      </c>
      <c r="K637" s="37">
        <v>1584.972</v>
      </c>
      <c r="L637" s="37">
        <v>5.056</v>
      </c>
      <c r="M637" s="37">
        <v>199.00800000000001</v>
      </c>
      <c r="N637" s="39">
        <f>+M637-O637</f>
        <v>77.632000000000005</v>
      </c>
      <c r="O637" s="37">
        <v>121.376</v>
      </c>
      <c r="P637" s="40">
        <v>10</v>
      </c>
      <c r="Q637" s="40">
        <v>0</v>
      </c>
      <c r="R637" s="41">
        <f>SUM(P637:Q637)</f>
        <v>10</v>
      </c>
      <c r="S637" s="42">
        <v>5362</v>
      </c>
    </row>
    <row r="638" spans="2:19" ht="15.75" x14ac:dyDescent="0.25">
      <c r="B638" s="34">
        <f t="shared" si="141"/>
        <v>8</v>
      </c>
      <c r="C638" s="34" t="s">
        <v>920</v>
      </c>
      <c r="D638" s="35" t="s">
        <v>921</v>
      </c>
      <c r="E638" s="36">
        <v>43646</v>
      </c>
      <c r="F638" s="37">
        <v>391.44400000000002</v>
      </c>
      <c r="G638" s="38">
        <v>10</v>
      </c>
      <c r="H638" s="39">
        <f>+F638/G638</f>
        <v>39.144400000000005</v>
      </c>
      <c r="I638" s="37">
        <v>1193.9459999999999</v>
      </c>
      <c r="J638" s="37">
        <v>3210.5509999999999</v>
      </c>
      <c r="K638" s="37">
        <v>4081.752</v>
      </c>
      <c r="L638" s="37">
        <v>119.56</v>
      </c>
      <c r="M638" s="37">
        <v>122.611</v>
      </c>
      <c r="N638" s="39">
        <f>+M638-O638</f>
        <v>16.174000000000007</v>
      </c>
      <c r="O638" s="37">
        <v>106.437</v>
      </c>
      <c r="P638" s="40">
        <v>9</v>
      </c>
      <c r="Q638" s="40">
        <v>0</v>
      </c>
      <c r="R638" s="41">
        <f>SUM(P638:Q638)</f>
        <v>9</v>
      </c>
      <c r="S638" s="42">
        <v>994</v>
      </c>
    </row>
    <row r="639" spans="2:19" ht="15.75" x14ac:dyDescent="0.25">
      <c r="B639" s="34">
        <f t="shared" si="141"/>
        <v>9</v>
      </c>
      <c r="C639" s="34" t="s">
        <v>922</v>
      </c>
      <c r="D639" s="35" t="s">
        <v>923</v>
      </c>
      <c r="E639" s="36">
        <v>43646</v>
      </c>
      <c r="F639" s="37">
        <v>121</v>
      </c>
      <c r="G639" s="38">
        <v>10</v>
      </c>
      <c r="H639" s="39">
        <f t="shared" si="137"/>
        <v>12.1</v>
      </c>
      <c r="I639" s="37">
        <v>23.454999999999998</v>
      </c>
      <c r="J639" s="37">
        <v>1530.644</v>
      </c>
      <c r="K639" s="37">
        <v>1884.7529999999999</v>
      </c>
      <c r="L639" s="37">
        <v>65.977999999999994</v>
      </c>
      <c r="M639" s="37">
        <v>-193.71100000000001</v>
      </c>
      <c r="N639" s="39">
        <f t="shared" si="138"/>
        <v>-18.363</v>
      </c>
      <c r="O639" s="37">
        <v>-175.34800000000001</v>
      </c>
      <c r="P639" s="40">
        <v>0</v>
      </c>
      <c r="Q639" s="40">
        <v>0</v>
      </c>
      <c r="R639" s="41">
        <f t="shared" si="139"/>
        <v>0</v>
      </c>
      <c r="S639" s="42">
        <v>925</v>
      </c>
    </row>
    <row r="640" spans="2:19" ht="15.75" x14ac:dyDescent="0.25">
      <c r="B640" s="34">
        <f t="shared" si="141"/>
        <v>10</v>
      </c>
      <c r="C640" s="34" t="s">
        <v>924</v>
      </c>
      <c r="D640" s="35" t="s">
        <v>925</v>
      </c>
      <c r="E640" s="36">
        <v>43830</v>
      </c>
      <c r="F640" s="37">
        <v>96.447999999999993</v>
      </c>
      <c r="G640" s="38">
        <v>10</v>
      </c>
      <c r="H640" s="39">
        <f t="shared" si="137"/>
        <v>9.6448</v>
      </c>
      <c r="I640" s="37">
        <v>4089.4520000000002</v>
      </c>
      <c r="J640" s="37">
        <v>7696.0389999999998</v>
      </c>
      <c r="K640" s="37">
        <v>14500.678</v>
      </c>
      <c r="L640" s="37">
        <v>72.372</v>
      </c>
      <c r="M640" s="37">
        <v>546.37900000000002</v>
      </c>
      <c r="N640" s="39">
        <f t="shared" si="138"/>
        <v>391.54300000000001</v>
      </c>
      <c r="O640" s="37">
        <v>154.83600000000001</v>
      </c>
      <c r="P640" s="40">
        <v>80</v>
      </c>
      <c r="Q640" s="40">
        <v>0</v>
      </c>
      <c r="R640" s="41">
        <f t="shared" si="139"/>
        <v>80</v>
      </c>
      <c r="S640" s="42">
        <v>1168</v>
      </c>
    </row>
    <row r="641" spans="2:19" ht="15.75" x14ac:dyDescent="0.25">
      <c r="B641" s="34">
        <f t="shared" si="141"/>
        <v>11</v>
      </c>
      <c r="C641" s="34" t="s">
        <v>926</v>
      </c>
      <c r="D641" s="35" t="s">
        <v>927</v>
      </c>
      <c r="E641" s="36">
        <v>43646</v>
      </c>
      <c r="F641" s="37">
        <v>2124.2530000000002</v>
      </c>
      <c r="G641" s="38">
        <v>10</v>
      </c>
      <c r="H641" s="39">
        <f t="shared" si="137"/>
        <v>212.42530000000002</v>
      </c>
      <c r="I641" s="37">
        <v>14517.905000000001</v>
      </c>
      <c r="J641" s="37">
        <v>23301.57</v>
      </c>
      <c r="K641" s="37">
        <v>14537.198</v>
      </c>
      <c r="L641" s="37">
        <v>428.036</v>
      </c>
      <c r="M641" s="37">
        <v>2830.18</v>
      </c>
      <c r="N641" s="39">
        <f t="shared" si="138"/>
        <v>188.23399999999992</v>
      </c>
      <c r="O641" s="37">
        <v>2641.9459999999999</v>
      </c>
      <c r="P641" s="40">
        <v>25</v>
      </c>
      <c r="Q641" s="40">
        <v>0</v>
      </c>
      <c r="R641" s="41">
        <f t="shared" si="139"/>
        <v>25</v>
      </c>
      <c r="S641" s="42">
        <v>11985</v>
      </c>
    </row>
    <row r="642" spans="2:19" ht="15.75" x14ac:dyDescent="0.25">
      <c r="B642" s="34">
        <f t="shared" si="141"/>
        <v>12</v>
      </c>
      <c r="C642" s="34" t="s">
        <v>928</v>
      </c>
      <c r="D642" s="35" t="s">
        <v>929</v>
      </c>
      <c r="E642" s="36">
        <v>43799</v>
      </c>
      <c r="F642" s="37">
        <v>142.161</v>
      </c>
      <c r="G642" s="38">
        <v>100</v>
      </c>
      <c r="H642" s="39">
        <f t="shared" si="137"/>
        <v>1.42161</v>
      </c>
      <c r="I642" s="37">
        <v>1237.7190000000001</v>
      </c>
      <c r="J642" s="37">
        <v>1994.7249999999999</v>
      </c>
      <c r="K642" s="37">
        <v>948.23699999999997</v>
      </c>
      <c r="L642" s="37">
        <v>26.734999999999999</v>
      </c>
      <c r="M642" s="37">
        <v>68.067999999999998</v>
      </c>
      <c r="N642" s="39">
        <f t="shared" si="138"/>
        <v>44.891999999999996</v>
      </c>
      <c r="O642" s="37">
        <v>23.175999999999998</v>
      </c>
      <c r="P642" s="40">
        <v>100</v>
      </c>
      <c r="Q642" s="40">
        <v>0</v>
      </c>
      <c r="R642" s="41">
        <f t="shared" si="139"/>
        <v>100</v>
      </c>
      <c r="S642" s="42">
        <v>1190</v>
      </c>
    </row>
    <row r="643" spans="2:19" ht="15.75" x14ac:dyDescent="0.25">
      <c r="B643" s="29"/>
      <c r="C643" s="29"/>
      <c r="D643" s="29"/>
      <c r="E643" s="29"/>
      <c r="F643" s="29"/>
      <c r="G643" s="43"/>
      <c r="H643" s="44"/>
      <c r="I643" s="31"/>
      <c r="J643" s="31"/>
      <c r="K643" s="31"/>
      <c r="L643" s="31"/>
      <c r="M643" s="31"/>
      <c r="N643" s="45"/>
      <c r="O643" s="31"/>
      <c r="P643" s="31"/>
      <c r="Q643" s="31"/>
      <c r="R643" s="45"/>
      <c r="S643" s="31"/>
    </row>
    <row r="644" spans="2:19" ht="15.75" x14ac:dyDescent="0.25">
      <c r="B644" s="34">
        <f>COUNT(B631:B643)</f>
        <v>12</v>
      </c>
      <c r="C644" s="34"/>
      <c r="D644" s="48"/>
      <c r="E644" s="48"/>
      <c r="F644" s="48">
        <f>SUM(F631:F643)</f>
        <v>12166.952800000001</v>
      </c>
      <c r="G644" s="49"/>
      <c r="H644" s="50">
        <f t="shared" ref="H644:O644" si="143">SUM(H631:H643)</f>
        <v>1203.9007900000004</v>
      </c>
      <c r="I644" s="48">
        <f t="shared" si="143"/>
        <v>72170.797615000003</v>
      </c>
      <c r="J644" s="48">
        <f t="shared" si="143"/>
        <v>113009.73871200002</v>
      </c>
      <c r="K644" s="48">
        <f t="shared" si="143"/>
        <v>141073.69402399997</v>
      </c>
      <c r="L644" s="48">
        <f t="shared" si="143"/>
        <v>1527.011565</v>
      </c>
      <c r="M644" s="48">
        <f t="shared" si="143"/>
        <v>15967.936658000002</v>
      </c>
      <c r="N644" s="51">
        <f t="shared" si="143"/>
        <v>4828.5403409999999</v>
      </c>
      <c r="O644" s="48">
        <f t="shared" si="143"/>
        <v>11139.396316999999</v>
      </c>
      <c r="P644" s="52"/>
      <c r="Q644" s="52"/>
      <c r="R644" s="53"/>
      <c r="S644" s="54">
        <f>SUM(S631:S643)</f>
        <v>48541</v>
      </c>
    </row>
    <row r="645" spans="2:19" ht="15.75" x14ac:dyDescent="0.25">
      <c r="B645" s="29"/>
      <c r="C645" s="29"/>
      <c r="D645" s="29"/>
      <c r="E645" s="29"/>
      <c r="F645" s="29"/>
      <c r="G645" s="43"/>
      <c r="H645" s="44"/>
      <c r="I645" s="31"/>
      <c r="J645" s="31"/>
      <c r="K645" s="31"/>
      <c r="L645" s="31"/>
      <c r="M645" s="31"/>
      <c r="N645" s="45"/>
      <c r="O645" s="31"/>
      <c r="P645" s="31"/>
      <c r="Q645" s="31"/>
      <c r="R645" s="45"/>
      <c r="S645" s="31"/>
    </row>
    <row r="646" spans="2:19" ht="15.75" x14ac:dyDescent="0.25">
      <c r="B646" s="29"/>
      <c r="C646" s="29"/>
      <c r="D646" s="29"/>
      <c r="E646" s="29"/>
      <c r="F646" s="29"/>
      <c r="G646" s="43"/>
      <c r="H646" s="44"/>
      <c r="I646" s="31"/>
      <c r="J646" s="31"/>
      <c r="K646" s="31"/>
      <c r="L646" s="31"/>
      <c r="M646" s="31"/>
      <c r="N646" s="45"/>
      <c r="O646" s="31"/>
      <c r="P646" s="31"/>
      <c r="Q646" s="31"/>
      <c r="R646" s="45"/>
      <c r="S646" s="31"/>
    </row>
    <row r="647" spans="2:19" ht="18.75" x14ac:dyDescent="0.3">
      <c r="B647" s="29"/>
      <c r="C647" s="33">
        <v>29</v>
      </c>
      <c r="D647" s="33" t="s">
        <v>930</v>
      </c>
      <c r="E647" s="61"/>
      <c r="F647" s="61"/>
      <c r="G647" s="43"/>
      <c r="H647" s="44"/>
      <c r="I647" s="31"/>
      <c r="J647" s="31"/>
      <c r="K647" s="31"/>
      <c r="L647" s="31"/>
      <c r="M647" s="31"/>
      <c r="N647" s="45"/>
      <c r="O647" s="31"/>
      <c r="P647" s="31"/>
      <c r="Q647" s="31"/>
      <c r="R647" s="45"/>
      <c r="S647" s="31"/>
    </row>
    <row r="648" spans="2:19" ht="15.75" x14ac:dyDescent="0.25">
      <c r="B648" s="29"/>
      <c r="C648" s="29"/>
      <c r="D648" s="29"/>
      <c r="E648" s="29"/>
      <c r="F648" s="29"/>
      <c r="G648" s="43"/>
      <c r="H648" s="44"/>
      <c r="I648" s="31"/>
      <c r="J648" s="31"/>
      <c r="K648" s="31"/>
      <c r="L648" s="31"/>
      <c r="M648" s="31"/>
      <c r="N648" s="45"/>
      <c r="O648" s="31"/>
      <c r="P648" s="31"/>
      <c r="Q648" s="31"/>
      <c r="R648" s="45"/>
      <c r="S648" s="31"/>
    </row>
    <row r="649" spans="2:19" ht="15.75" x14ac:dyDescent="0.25">
      <c r="B649" s="60">
        <v>1</v>
      </c>
      <c r="C649" s="60" t="s">
        <v>931</v>
      </c>
      <c r="D649" s="35" t="s">
        <v>932</v>
      </c>
      <c r="E649" s="36">
        <v>43830</v>
      </c>
      <c r="F649" s="37">
        <v>3924.3</v>
      </c>
      <c r="G649" s="38">
        <v>10</v>
      </c>
      <c r="H649" s="39">
        <f t="shared" ref="H649:H672" si="144">+F649/G649</f>
        <v>392.43</v>
      </c>
      <c r="I649" s="37">
        <v>10736.092379</v>
      </c>
      <c r="J649" s="37">
        <v>69135.918718999994</v>
      </c>
      <c r="K649" s="37">
        <v>12174.418992000001</v>
      </c>
      <c r="L649" s="37">
        <v>3300.4215469999999</v>
      </c>
      <c r="M649" s="37">
        <v>-971.01086199999997</v>
      </c>
      <c r="N649" s="39">
        <f t="shared" ref="N649:N672" si="145">+M649-O649</f>
        <v>-318.23400600000002</v>
      </c>
      <c r="O649" s="37">
        <v>-652.77685599999995</v>
      </c>
      <c r="P649" s="40">
        <v>0</v>
      </c>
      <c r="Q649" s="40">
        <v>0</v>
      </c>
      <c r="R649" s="41">
        <f t="shared" ref="R649:R672" si="146">SUM(P649:Q649)</f>
        <v>0</v>
      </c>
      <c r="S649" s="42">
        <v>4024</v>
      </c>
    </row>
    <row r="650" spans="2:19" ht="15.75" x14ac:dyDescent="0.25">
      <c r="B650" s="60">
        <f>+B649+1</f>
        <v>2</v>
      </c>
      <c r="C650" s="34" t="s">
        <v>933</v>
      </c>
      <c r="D650" s="35" t="s">
        <v>934</v>
      </c>
      <c r="E650" s="36">
        <v>43830</v>
      </c>
      <c r="F650" s="37">
        <v>464.43299999999999</v>
      </c>
      <c r="G650" s="38">
        <v>10</v>
      </c>
      <c r="H650" s="39">
        <f t="shared" si="144"/>
        <v>46.443300000000001</v>
      </c>
      <c r="I650" s="37">
        <v>6594.1469999999999</v>
      </c>
      <c r="J650" s="37">
        <v>8415.6440000000002</v>
      </c>
      <c r="K650" s="37">
        <v>5611.5410000000002</v>
      </c>
      <c r="L650" s="37">
        <v>10.82</v>
      </c>
      <c r="M650" s="37">
        <v>784.81399999999996</v>
      </c>
      <c r="N650" s="39">
        <f t="shared" si="145"/>
        <v>235.92099999999994</v>
      </c>
      <c r="O650" s="37">
        <v>548.89300000000003</v>
      </c>
      <c r="P650" s="40">
        <v>60</v>
      </c>
      <c r="Q650" s="40">
        <v>0</v>
      </c>
      <c r="R650" s="41">
        <f t="shared" si="146"/>
        <v>60</v>
      </c>
      <c r="S650" s="42">
        <v>10348</v>
      </c>
    </row>
    <row r="651" spans="2:19" ht="15.75" x14ac:dyDescent="0.25">
      <c r="B651" s="60">
        <f t="shared" ref="B651:B672" si="147">+B650+1</f>
        <v>3</v>
      </c>
      <c r="C651" s="60" t="s">
        <v>935</v>
      </c>
      <c r="D651" s="35" t="s">
        <v>936</v>
      </c>
      <c r="E651" s="36">
        <v>43738</v>
      </c>
      <c r="F651" s="37">
        <v>341.17899999999997</v>
      </c>
      <c r="G651" s="38">
        <v>10</v>
      </c>
      <c r="H651" s="39">
        <f t="shared" si="144"/>
        <v>34.117899999999999</v>
      </c>
      <c r="I651" s="37">
        <v>5117.4369999999999</v>
      </c>
      <c r="J651" s="37">
        <v>11462.790999999999</v>
      </c>
      <c r="K651" s="37">
        <v>17353.05</v>
      </c>
      <c r="L651" s="37">
        <v>680.27</v>
      </c>
      <c r="M651" s="37">
        <v>2150.0189999999998</v>
      </c>
      <c r="N651" s="39">
        <f t="shared" si="145"/>
        <v>427.63899999999967</v>
      </c>
      <c r="O651" s="37">
        <v>1722.38</v>
      </c>
      <c r="P651" s="40">
        <v>450</v>
      </c>
      <c r="Q651" s="40">
        <v>0</v>
      </c>
      <c r="R651" s="41">
        <f t="shared" si="146"/>
        <v>450</v>
      </c>
      <c r="S651" s="42">
        <v>1726</v>
      </c>
    </row>
    <row r="652" spans="2:19" ht="15.75" x14ac:dyDescent="0.25">
      <c r="B652" s="60">
        <f t="shared" si="147"/>
        <v>4</v>
      </c>
      <c r="C652" s="34" t="s">
        <v>937</v>
      </c>
      <c r="D652" s="35" t="s">
        <v>938</v>
      </c>
      <c r="E652" s="36">
        <v>43646</v>
      </c>
      <c r="F652" s="37">
        <v>204.59700000000001</v>
      </c>
      <c r="G652" s="38">
        <v>10</v>
      </c>
      <c r="H652" s="39">
        <f t="shared" si="144"/>
        <v>20.459700000000002</v>
      </c>
      <c r="I652" s="37">
        <v>1580.269</v>
      </c>
      <c r="J652" s="37">
        <v>4346.9809999999998</v>
      </c>
      <c r="K652" s="37">
        <v>5120.4440000000004</v>
      </c>
      <c r="L652" s="37">
        <v>165.06700000000001</v>
      </c>
      <c r="M652" s="37">
        <v>112.998</v>
      </c>
      <c r="N652" s="39">
        <f t="shared" si="145"/>
        <v>12.173000000000002</v>
      </c>
      <c r="O652" s="37">
        <v>100.825</v>
      </c>
      <c r="P652" s="40">
        <v>10</v>
      </c>
      <c r="Q652" s="40">
        <v>0</v>
      </c>
      <c r="R652" s="41">
        <f t="shared" si="146"/>
        <v>10</v>
      </c>
      <c r="S652" s="42">
        <v>1355</v>
      </c>
    </row>
    <row r="653" spans="2:19" ht="15.75" x14ac:dyDescent="0.25">
      <c r="B653" s="60">
        <f t="shared" si="147"/>
        <v>5</v>
      </c>
      <c r="C653" s="60" t="s">
        <v>939</v>
      </c>
      <c r="D653" s="35" t="s">
        <v>940</v>
      </c>
      <c r="E653" s="36">
        <v>43646</v>
      </c>
      <c r="F653" s="37">
        <v>264</v>
      </c>
      <c r="G653" s="38">
        <v>10</v>
      </c>
      <c r="H653" s="39">
        <f t="shared" si="144"/>
        <v>26.4</v>
      </c>
      <c r="I653" s="37">
        <v>1405.2397040000001</v>
      </c>
      <c r="J653" s="37">
        <v>2272.2814210000001</v>
      </c>
      <c r="K653" s="37">
        <v>1409.5784309999999</v>
      </c>
      <c r="L653" s="37">
        <v>63.245156000000001</v>
      </c>
      <c r="M653" s="37">
        <v>460.24149899999998</v>
      </c>
      <c r="N653" s="39">
        <f t="shared" si="145"/>
        <v>100.34949499999999</v>
      </c>
      <c r="O653" s="37">
        <v>359.89200399999999</v>
      </c>
      <c r="P653" s="40">
        <f>22.5+32.5+40+30</f>
        <v>125</v>
      </c>
      <c r="Q653" s="40">
        <v>20</v>
      </c>
      <c r="R653" s="41">
        <f t="shared" si="146"/>
        <v>145</v>
      </c>
      <c r="S653" s="42">
        <v>1204</v>
      </c>
    </row>
    <row r="654" spans="2:19" ht="15.75" x14ac:dyDescent="0.25">
      <c r="B654" s="60">
        <f t="shared" si="147"/>
        <v>6</v>
      </c>
      <c r="C654" s="34" t="s">
        <v>941</v>
      </c>
      <c r="D654" s="35" t="s">
        <v>942</v>
      </c>
      <c r="E654" s="36">
        <v>43646</v>
      </c>
      <c r="F654" s="37">
        <v>14.4</v>
      </c>
      <c r="G654" s="38">
        <v>10</v>
      </c>
      <c r="H654" s="39">
        <f t="shared" si="144"/>
        <v>1.44</v>
      </c>
      <c r="I654" s="37">
        <v>132.054</v>
      </c>
      <c r="J654" s="37">
        <v>324.80700000000002</v>
      </c>
      <c r="K654" s="37">
        <v>256.67</v>
      </c>
      <c r="L654" s="37">
        <v>5.8840000000000003</v>
      </c>
      <c r="M654" s="37">
        <v>-12.487</v>
      </c>
      <c r="N654" s="39">
        <f t="shared" si="145"/>
        <v>3.2080000000000002</v>
      </c>
      <c r="O654" s="37">
        <v>-15.695</v>
      </c>
      <c r="P654" s="40">
        <v>0</v>
      </c>
      <c r="Q654" s="40">
        <v>0</v>
      </c>
      <c r="R654" s="41">
        <f t="shared" si="146"/>
        <v>0</v>
      </c>
      <c r="S654" s="42">
        <v>568</v>
      </c>
    </row>
    <row r="655" spans="2:19" ht="15.75" x14ac:dyDescent="0.25">
      <c r="B655" s="60">
        <f t="shared" si="147"/>
        <v>7</v>
      </c>
      <c r="C655" s="60" t="s">
        <v>943</v>
      </c>
      <c r="D655" s="35" t="s">
        <v>944</v>
      </c>
      <c r="E655" s="36">
        <v>43646</v>
      </c>
      <c r="F655" s="37">
        <v>575.45899999999995</v>
      </c>
      <c r="G655" s="38">
        <v>10</v>
      </c>
      <c r="H655" s="39">
        <f t="shared" si="144"/>
        <v>57.545899999999996</v>
      </c>
      <c r="I655" s="37">
        <v>14868.245000000001</v>
      </c>
      <c r="J655" s="37">
        <v>18995.435000000001</v>
      </c>
      <c r="K655" s="37">
        <v>36961.042000000001</v>
      </c>
      <c r="L655" s="37">
        <v>38.496000000000002</v>
      </c>
      <c r="M655" s="37">
        <v>4964.1899999999996</v>
      </c>
      <c r="N655" s="39">
        <f t="shared" si="145"/>
        <v>1453.3869999999997</v>
      </c>
      <c r="O655" s="37">
        <v>3510.8029999999999</v>
      </c>
      <c r="P655" s="40">
        <f>165+200</f>
        <v>365</v>
      </c>
      <c r="Q655" s="40">
        <v>0</v>
      </c>
      <c r="R655" s="41">
        <f t="shared" si="146"/>
        <v>365</v>
      </c>
      <c r="S655" s="42">
        <v>784</v>
      </c>
    </row>
    <row r="656" spans="2:19" ht="15.75" x14ac:dyDescent="0.25">
      <c r="B656" s="60">
        <f t="shared" si="147"/>
        <v>8</v>
      </c>
      <c r="C656" s="34" t="s">
        <v>945</v>
      </c>
      <c r="D656" s="35" t="s">
        <v>946</v>
      </c>
      <c r="E656" s="36">
        <v>43646</v>
      </c>
      <c r="F656" s="37">
        <v>40</v>
      </c>
      <c r="G656" s="38">
        <v>10</v>
      </c>
      <c r="H656" s="39">
        <f t="shared" si="144"/>
        <v>4</v>
      </c>
      <c r="I656" s="37">
        <v>99.583842000000004</v>
      </c>
      <c r="J656" s="37">
        <v>203.28903299999999</v>
      </c>
      <c r="K656" s="37">
        <v>148.44449299999999</v>
      </c>
      <c r="L656" s="37">
        <v>1.018038</v>
      </c>
      <c r="M656" s="37">
        <v>6.3027550000000003</v>
      </c>
      <c r="N656" s="39">
        <f t="shared" si="145"/>
        <v>21.883697000000002</v>
      </c>
      <c r="O656" s="37">
        <v>-15.580942</v>
      </c>
      <c r="P656" s="40">
        <v>0</v>
      </c>
      <c r="Q656" s="40">
        <v>0</v>
      </c>
      <c r="R656" s="41">
        <f t="shared" si="146"/>
        <v>0</v>
      </c>
      <c r="S656" s="42">
        <v>2458</v>
      </c>
    </row>
    <row r="657" spans="2:19" ht="15.75" x14ac:dyDescent="0.25">
      <c r="B657" s="60">
        <f t="shared" si="147"/>
        <v>9</v>
      </c>
      <c r="C657" s="60" t="s">
        <v>947</v>
      </c>
      <c r="D657" s="35" t="s">
        <v>948</v>
      </c>
      <c r="E657" s="36">
        <v>43646</v>
      </c>
      <c r="F657" s="37">
        <v>1020</v>
      </c>
      <c r="G657" s="38">
        <v>10</v>
      </c>
      <c r="H657" s="39">
        <f t="shared" si="144"/>
        <v>102</v>
      </c>
      <c r="I657" s="37">
        <v>783.55899999999997</v>
      </c>
      <c r="J657" s="37">
        <v>2248.1869999999999</v>
      </c>
      <c r="K657" s="37">
        <v>2704.9569999999999</v>
      </c>
      <c r="L657" s="37">
        <v>79.180999999999997</v>
      </c>
      <c r="M657" s="37">
        <v>578.47400000000005</v>
      </c>
      <c r="N657" s="39">
        <f t="shared" si="145"/>
        <v>184.20500000000004</v>
      </c>
      <c r="O657" s="37">
        <v>394.26900000000001</v>
      </c>
      <c r="P657" s="40">
        <f>10</f>
        <v>10</v>
      </c>
      <c r="Q657" s="40">
        <v>0</v>
      </c>
      <c r="R657" s="41">
        <f t="shared" si="146"/>
        <v>10</v>
      </c>
      <c r="S657" s="42">
        <v>5129</v>
      </c>
    </row>
    <row r="658" spans="2:19" ht="15.75" x14ac:dyDescent="0.25">
      <c r="B658" s="60">
        <f t="shared" si="147"/>
        <v>10</v>
      </c>
      <c r="C658" s="60" t="s">
        <v>949</v>
      </c>
      <c r="D658" s="35" t="s">
        <v>950</v>
      </c>
      <c r="E658" s="36">
        <v>43646</v>
      </c>
      <c r="F658" s="37">
        <v>94.362065000000001</v>
      </c>
      <c r="G658" s="38">
        <v>5</v>
      </c>
      <c r="H658" s="39">
        <f t="shared" si="144"/>
        <v>18.872413000000002</v>
      </c>
      <c r="I658" s="37">
        <v>1378.72777</v>
      </c>
      <c r="J658" s="37">
        <v>2360.6722970000001</v>
      </c>
      <c r="K658" s="37">
        <v>5140.0297790000004</v>
      </c>
      <c r="L658" s="37">
        <v>75.714939999999999</v>
      </c>
      <c r="M658" s="37">
        <v>321.48018200000001</v>
      </c>
      <c r="N658" s="39">
        <f t="shared" si="145"/>
        <v>94.578708000000006</v>
      </c>
      <c r="O658" s="37">
        <v>226.90147400000001</v>
      </c>
      <c r="P658" s="40">
        <v>50</v>
      </c>
      <c r="Q658" s="40">
        <v>0</v>
      </c>
      <c r="R658" s="41">
        <f t="shared" si="146"/>
        <v>50</v>
      </c>
      <c r="S658" s="42">
        <v>1583</v>
      </c>
    </row>
    <row r="659" spans="2:19" ht="15.75" x14ac:dyDescent="0.25">
      <c r="B659" s="60">
        <f t="shared" si="147"/>
        <v>11</v>
      </c>
      <c r="C659" s="60" t="s">
        <v>951</v>
      </c>
      <c r="D659" s="35" t="s">
        <v>952</v>
      </c>
      <c r="E659" s="36">
        <v>43830</v>
      </c>
      <c r="F659" s="37">
        <v>9089.2330000000002</v>
      </c>
      <c r="G659" s="38">
        <v>10</v>
      </c>
      <c r="H659" s="39">
        <f t="shared" si="144"/>
        <v>908.92330000000004</v>
      </c>
      <c r="I659" s="37">
        <v>17731.023000000001</v>
      </c>
      <c r="J659" s="37">
        <v>57466.446000000004</v>
      </c>
      <c r="K659" s="37">
        <v>37836.631999999998</v>
      </c>
      <c r="L659" s="37">
        <v>1785.5830000000001</v>
      </c>
      <c r="M659" s="37">
        <v>5042.6940000000004</v>
      </c>
      <c r="N659" s="39">
        <f t="shared" si="145"/>
        <v>1339.1920000000005</v>
      </c>
      <c r="O659" s="37">
        <v>3703.502</v>
      </c>
      <c r="P659" s="40">
        <f>6+2</f>
        <v>8</v>
      </c>
      <c r="Q659" s="40">
        <v>0</v>
      </c>
      <c r="R659" s="41">
        <f t="shared" si="146"/>
        <v>8</v>
      </c>
      <c r="S659" s="42">
        <v>28817</v>
      </c>
    </row>
    <row r="660" spans="2:19" ht="15.75" x14ac:dyDescent="0.25">
      <c r="B660" s="60">
        <f t="shared" si="147"/>
        <v>12</v>
      </c>
      <c r="C660" s="60" t="s">
        <v>953</v>
      </c>
      <c r="D660" s="35" t="s">
        <v>954</v>
      </c>
      <c r="E660" s="36">
        <v>43646</v>
      </c>
      <c r="F660" s="37">
        <v>1533.059</v>
      </c>
      <c r="G660" s="38">
        <v>10</v>
      </c>
      <c r="H660" s="39">
        <f t="shared" si="144"/>
        <v>153.30590000000001</v>
      </c>
      <c r="I660" s="37">
        <v>2779.5070000000001</v>
      </c>
      <c r="J660" s="37">
        <v>2781.31</v>
      </c>
      <c r="K660" s="37">
        <v>0</v>
      </c>
      <c r="L660" s="37">
        <v>0</v>
      </c>
      <c r="M660" s="37">
        <v>0.23899999999999999</v>
      </c>
      <c r="N660" s="39">
        <f t="shared" si="145"/>
        <v>6.8999999999999978E-2</v>
      </c>
      <c r="O660" s="37">
        <v>0.17</v>
      </c>
      <c r="P660" s="40">
        <v>0</v>
      </c>
      <c r="Q660" s="40">
        <v>0</v>
      </c>
      <c r="R660" s="41">
        <f t="shared" si="146"/>
        <v>0</v>
      </c>
      <c r="S660" s="42">
        <v>3853</v>
      </c>
    </row>
    <row r="661" spans="2:19" ht="15.75" x14ac:dyDescent="0.25">
      <c r="B661" s="60">
        <f t="shared" si="147"/>
        <v>13</v>
      </c>
      <c r="C661" s="60" t="s">
        <v>955</v>
      </c>
      <c r="D661" s="35" t="s">
        <v>956</v>
      </c>
      <c r="E661" s="36">
        <v>43646</v>
      </c>
      <c r="F661" s="37">
        <v>923.59100000000001</v>
      </c>
      <c r="G661" s="38">
        <v>10</v>
      </c>
      <c r="H661" s="39">
        <f t="shared" si="144"/>
        <v>92.359099999999998</v>
      </c>
      <c r="I661" s="37">
        <v>19207.043000000001</v>
      </c>
      <c r="J661" s="37">
        <v>44222.667000000001</v>
      </c>
      <c r="K661" s="37">
        <v>58328.85</v>
      </c>
      <c r="L661" s="37">
        <v>1455.7470000000001</v>
      </c>
      <c r="M661" s="37">
        <v>3180.5059999999999</v>
      </c>
      <c r="N661" s="39">
        <f t="shared" si="145"/>
        <v>875.59400000000005</v>
      </c>
      <c r="O661" s="37">
        <v>2304.9119999999998</v>
      </c>
      <c r="P661" s="40">
        <f>45+45</f>
        <v>90</v>
      </c>
      <c r="Q661" s="40">
        <v>0</v>
      </c>
      <c r="R661" s="41">
        <f t="shared" si="146"/>
        <v>90</v>
      </c>
      <c r="S661" s="42">
        <v>9807</v>
      </c>
    </row>
    <row r="662" spans="2:19" ht="15.75" x14ac:dyDescent="0.25">
      <c r="B662" s="60">
        <f t="shared" si="147"/>
        <v>14</v>
      </c>
      <c r="C662" s="60" t="s">
        <v>957</v>
      </c>
      <c r="D662" s="35" t="s">
        <v>958</v>
      </c>
      <c r="E662" s="36">
        <v>43646</v>
      </c>
      <c r="F662" s="37">
        <v>847</v>
      </c>
      <c r="G662" s="38">
        <v>10</v>
      </c>
      <c r="H662" s="39">
        <f t="shared" si="144"/>
        <v>84.7</v>
      </c>
      <c r="I662" s="37">
        <v>4003.6849999999999</v>
      </c>
      <c r="J662" s="37">
        <v>9476.3529999999992</v>
      </c>
      <c r="K662" s="37">
        <v>6644.3770000000004</v>
      </c>
      <c r="L662" s="37">
        <v>255.66800000000001</v>
      </c>
      <c r="M662" s="37">
        <v>505.08800000000002</v>
      </c>
      <c r="N662" s="39">
        <f t="shared" si="145"/>
        <v>100.03700000000003</v>
      </c>
      <c r="O662" s="37">
        <v>405.05099999999999</v>
      </c>
      <c r="P662" s="40">
        <v>0</v>
      </c>
      <c r="Q662" s="40">
        <v>0</v>
      </c>
      <c r="R662" s="41">
        <f t="shared" si="146"/>
        <v>0</v>
      </c>
      <c r="S662" s="42">
        <v>1417</v>
      </c>
    </row>
    <row r="663" spans="2:19" ht="15.75" x14ac:dyDescent="0.25">
      <c r="B663" s="60">
        <f t="shared" si="147"/>
        <v>15</v>
      </c>
      <c r="C663" s="60" t="s">
        <v>959</v>
      </c>
      <c r="D663" s="35" t="s">
        <v>960</v>
      </c>
      <c r="E663" s="36">
        <v>43830</v>
      </c>
      <c r="F663" s="37">
        <v>15142.072</v>
      </c>
      <c r="G663" s="38">
        <v>10</v>
      </c>
      <c r="H663" s="39">
        <f t="shared" si="144"/>
        <v>1514.2072000000001</v>
      </c>
      <c r="I663" s="37">
        <v>15792.050999999999</v>
      </c>
      <c r="J663" s="37">
        <v>27526.192999999999</v>
      </c>
      <c r="K663" s="37">
        <v>60539.754000000001</v>
      </c>
      <c r="L663" s="37">
        <v>156.49700000000001</v>
      </c>
      <c r="M663" s="37">
        <v>7779.2049999999999</v>
      </c>
      <c r="N663" s="39">
        <f t="shared" si="145"/>
        <v>2236.875</v>
      </c>
      <c r="O663" s="37">
        <v>5542.33</v>
      </c>
      <c r="P663" s="40">
        <f>15</f>
        <v>15</v>
      </c>
      <c r="Q663" s="40">
        <v>0</v>
      </c>
      <c r="R663" s="41">
        <f t="shared" si="146"/>
        <v>15</v>
      </c>
      <c r="S663" s="42">
        <v>18452</v>
      </c>
    </row>
    <row r="664" spans="2:19" ht="15.75" x14ac:dyDescent="0.25">
      <c r="B664" s="60">
        <f t="shared" si="147"/>
        <v>16</v>
      </c>
      <c r="C664" s="60" t="s">
        <v>961</v>
      </c>
      <c r="D664" s="35" t="s">
        <v>962</v>
      </c>
      <c r="E664" s="36">
        <v>43646</v>
      </c>
      <c r="F664" s="37">
        <v>75</v>
      </c>
      <c r="G664" s="38">
        <v>10</v>
      </c>
      <c r="H664" s="39">
        <f t="shared" si="144"/>
        <v>7.5</v>
      </c>
      <c r="I664" s="37">
        <v>406.06200000000001</v>
      </c>
      <c r="J664" s="37">
        <v>860.19100000000003</v>
      </c>
      <c r="K664" s="37">
        <v>779.65899999999999</v>
      </c>
      <c r="L664" s="37">
        <v>20.640999999999998</v>
      </c>
      <c r="M664" s="37">
        <v>11.43</v>
      </c>
      <c r="N664" s="39">
        <f t="shared" si="145"/>
        <v>8.8930000000000007</v>
      </c>
      <c r="O664" s="37">
        <v>2.5369999999999999</v>
      </c>
      <c r="P664" s="40">
        <v>0</v>
      </c>
      <c r="Q664" s="40">
        <v>0</v>
      </c>
      <c r="R664" s="41">
        <f t="shared" si="146"/>
        <v>0</v>
      </c>
      <c r="S664" s="42">
        <v>592</v>
      </c>
    </row>
    <row r="665" spans="2:19" ht="15.75" x14ac:dyDescent="0.25">
      <c r="B665" s="60">
        <f t="shared" si="147"/>
        <v>17</v>
      </c>
      <c r="C665" s="60" t="s">
        <v>963</v>
      </c>
      <c r="D665" s="35" t="s">
        <v>964</v>
      </c>
      <c r="E665" s="36">
        <v>43646</v>
      </c>
      <c r="F665" s="37">
        <v>1105.9054599999999</v>
      </c>
      <c r="G665" s="38">
        <v>10</v>
      </c>
      <c r="H665" s="39">
        <f t="shared" si="144"/>
        <v>110.59054599999999</v>
      </c>
      <c r="I665" s="37">
        <v>3034.8845099999999</v>
      </c>
      <c r="J665" s="37">
        <v>8514.0282650000008</v>
      </c>
      <c r="K665" s="37">
        <v>14850.121491</v>
      </c>
      <c r="L665" s="37">
        <v>359.49748799999998</v>
      </c>
      <c r="M665" s="37">
        <v>1158.6532010000001</v>
      </c>
      <c r="N665" s="39">
        <f t="shared" si="145"/>
        <v>348.55622900000003</v>
      </c>
      <c r="O665" s="37">
        <v>810.09697200000005</v>
      </c>
      <c r="P665" s="40">
        <f>15+15</f>
        <v>30</v>
      </c>
      <c r="Q665" s="40">
        <v>0</v>
      </c>
      <c r="R665" s="41">
        <f t="shared" si="146"/>
        <v>30</v>
      </c>
      <c r="S665" s="42">
        <v>1877</v>
      </c>
    </row>
    <row r="666" spans="2:19" ht="15.75" x14ac:dyDescent="0.25">
      <c r="B666" s="60">
        <f t="shared" si="147"/>
        <v>18</v>
      </c>
      <c r="C666" s="60" t="s">
        <v>965</v>
      </c>
      <c r="D666" s="35" t="s">
        <v>966</v>
      </c>
      <c r="E666" s="36">
        <v>43646</v>
      </c>
      <c r="F666" s="37">
        <v>1413.21064</v>
      </c>
      <c r="G666" s="38">
        <v>5</v>
      </c>
      <c r="H666" s="39">
        <f t="shared" si="144"/>
        <v>282.64212800000001</v>
      </c>
      <c r="I666" s="37">
        <v>1165.872265</v>
      </c>
      <c r="J666" s="37">
        <v>3052.347436</v>
      </c>
      <c r="K666" s="37">
        <v>4887.1422480000001</v>
      </c>
      <c r="L666" s="37">
        <v>167.59172699999999</v>
      </c>
      <c r="M666" s="37">
        <v>163.50067799999999</v>
      </c>
      <c r="N666" s="39">
        <f t="shared" si="145"/>
        <v>9.4832600000000014</v>
      </c>
      <c r="O666" s="37">
        <v>154.01741799999999</v>
      </c>
      <c r="P666" s="40">
        <v>0</v>
      </c>
      <c r="Q666" s="40">
        <v>0</v>
      </c>
      <c r="R666" s="41">
        <f t="shared" si="146"/>
        <v>0</v>
      </c>
      <c r="S666" s="42">
        <v>6034</v>
      </c>
    </row>
    <row r="667" spans="2:19" ht="15.75" x14ac:dyDescent="0.25">
      <c r="B667" s="60">
        <f t="shared" si="147"/>
        <v>19</v>
      </c>
      <c r="C667" s="60" t="s">
        <v>967</v>
      </c>
      <c r="D667" s="35" t="s">
        <v>968</v>
      </c>
      <c r="E667" s="36">
        <v>43830</v>
      </c>
      <c r="F667" s="37">
        <v>325.50299999999999</v>
      </c>
      <c r="G667" s="38">
        <v>10</v>
      </c>
      <c r="H667" s="39">
        <f t="shared" si="144"/>
        <v>32.5503</v>
      </c>
      <c r="I667" s="37">
        <v>4143.7389999999996</v>
      </c>
      <c r="J667" s="37">
        <v>7063.0690000000004</v>
      </c>
      <c r="K667" s="37">
        <v>4666.59</v>
      </c>
      <c r="L667" s="37">
        <v>173.05</v>
      </c>
      <c r="M667" s="37">
        <v>396.87900000000002</v>
      </c>
      <c r="N667" s="39">
        <f t="shared" si="145"/>
        <v>96.29400000000004</v>
      </c>
      <c r="O667" s="37">
        <v>300.58499999999998</v>
      </c>
      <c r="P667" s="40">
        <v>0</v>
      </c>
      <c r="Q667" s="40">
        <v>20</v>
      </c>
      <c r="R667" s="41">
        <f t="shared" si="146"/>
        <v>20</v>
      </c>
      <c r="S667" s="42">
        <v>1901</v>
      </c>
    </row>
    <row r="668" spans="2:19" ht="15.75" x14ac:dyDescent="0.25">
      <c r="B668" s="60">
        <f t="shared" si="147"/>
        <v>20</v>
      </c>
      <c r="C668" s="60" t="s">
        <v>969</v>
      </c>
      <c r="D668" s="35" t="s">
        <v>970</v>
      </c>
      <c r="E668" s="36">
        <v>43830</v>
      </c>
      <c r="F668" s="37"/>
      <c r="G668" s="38">
        <v>10</v>
      </c>
      <c r="H668" s="39">
        <f t="shared" si="144"/>
        <v>0</v>
      </c>
      <c r="I668" s="37"/>
      <c r="J668" s="37"/>
      <c r="K668" s="37"/>
      <c r="L668" s="37"/>
      <c r="M668" s="37"/>
      <c r="N668" s="39">
        <f t="shared" si="145"/>
        <v>0</v>
      </c>
      <c r="O668" s="37"/>
      <c r="P668" s="40"/>
      <c r="Q668" s="40"/>
      <c r="R668" s="41">
        <f t="shared" si="146"/>
        <v>0</v>
      </c>
      <c r="S668" s="42"/>
    </row>
    <row r="669" spans="2:19" ht="15.75" x14ac:dyDescent="0.25">
      <c r="B669" s="60">
        <f t="shared" si="147"/>
        <v>21</v>
      </c>
      <c r="C669" s="60" t="s">
        <v>971</v>
      </c>
      <c r="D669" s="35" t="s">
        <v>972</v>
      </c>
      <c r="E669" s="36">
        <v>43646</v>
      </c>
      <c r="F669" s="37">
        <v>60</v>
      </c>
      <c r="G669" s="38">
        <v>10</v>
      </c>
      <c r="H669" s="39">
        <f t="shared" si="144"/>
        <v>6</v>
      </c>
      <c r="I669" s="37">
        <v>141.564999</v>
      </c>
      <c r="J669" s="37">
        <v>175.90955</v>
      </c>
      <c r="K669" s="37">
        <v>268.42572999999999</v>
      </c>
      <c r="L669" s="37">
        <v>2.0622720000000001</v>
      </c>
      <c r="M669" s="37">
        <v>23.418804000000002</v>
      </c>
      <c r="N669" s="39">
        <f t="shared" si="145"/>
        <v>4.765347000000002</v>
      </c>
      <c r="O669" s="37">
        <v>18.653457</v>
      </c>
      <c r="P669" s="40">
        <v>0</v>
      </c>
      <c r="Q669" s="40">
        <v>0</v>
      </c>
      <c r="R669" s="41">
        <f t="shared" si="146"/>
        <v>0</v>
      </c>
      <c r="S669" s="42">
        <v>1787</v>
      </c>
    </row>
    <row r="670" spans="2:19" ht="15.75" x14ac:dyDescent="0.25">
      <c r="B670" s="60">
        <f t="shared" si="147"/>
        <v>22</v>
      </c>
      <c r="C670" s="60" t="s">
        <v>973</v>
      </c>
      <c r="D670" s="35" t="s">
        <v>974</v>
      </c>
      <c r="E670" s="36">
        <v>43646</v>
      </c>
      <c r="F670" s="37">
        <v>214.29407</v>
      </c>
      <c r="G670" s="38">
        <v>10</v>
      </c>
      <c r="H670" s="39">
        <f t="shared" si="144"/>
        <v>21.429407000000001</v>
      </c>
      <c r="I670" s="37">
        <v>14619.623468</v>
      </c>
      <c r="J670" s="37">
        <v>26827.491257999998</v>
      </c>
      <c r="K670" s="37">
        <v>12698.107029999999</v>
      </c>
      <c r="L670" s="37">
        <v>641.59328300000004</v>
      </c>
      <c r="M670" s="37">
        <v>1065.0034109999999</v>
      </c>
      <c r="N670" s="39">
        <f t="shared" si="145"/>
        <v>179.54500399999995</v>
      </c>
      <c r="O670" s="37">
        <v>885.45840699999997</v>
      </c>
      <c r="P670" s="40">
        <v>100</v>
      </c>
      <c r="Q670" s="40">
        <v>0</v>
      </c>
      <c r="R670" s="41">
        <f t="shared" si="146"/>
        <v>100</v>
      </c>
      <c r="S670" s="42">
        <v>1929</v>
      </c>
    </row>
    <row r="671" spans="2:19" ht="15.75" x14ac:dyDescent="0.25">
      <c r="B671" s="60">
        <f t="shared" si="147"/>
        <v>23</v>
      </c>
      <c r="C671" s="60" t="s">
        <v>975</v>
      </c>
      <c r="D671" s="35" t="s">
        <v>976</v>
      </c>
      <c r="E671" s="36">
        <v>43646</v>
      </c>
      <c r="F671" s="37">
        <v>551</v>
      </c>
      <c r="G671" s="38">
        <v>10</v>
      </c>
      <c r="H671" s="39">
        <f t="shared" si="144"/>
        <v>55.1</v>
      </c>
      <c r="I671" s="37">
        <v>1952.7882159999999</v>
      </c>
      <c r="J671" s="37">
        <v>3809.5179130000001</v>
      </c>
      <c r="K671" s="37">
        <v>2036.215629</v>
      </c>
      <c r="L671" s="37">
        <v>89.770954000000003</v>
      </c>
      <c r="M671" s="37">
        <v>279.52208300000001</v>
      </c>
      <c r="N671" s="39">
        <f t="shared" si="145"/>
        <v>72.137129000000016</v>
      </c>
      <c r="O671" s="37">
        <v>207.38495399999999</v>
      </c>
      <c r="P671" s="40">
        <v>0</v>
      </c>
      <c r="Q671" s="40">
        <v>0</v>
      </c>
      <c r="R671" s="41">
        <f t="shared" si="146"/>
        <v>0</v>
      </c>
      <c r="S671" s="42">
        <v>7680</v>
      </c>
    </row>
    <row r="672" spans="2:19" ht="15.75" x14ac:dyDescent="0.25">
      <c r="B672" s="60">
        <f t="shared" si="147"/>
        <v>24</v>
      </c>
      <c r="C672" s="60" t="s">
        <v>977</v>
      </c>
      <c r="D672" s="35" t="s">
        <v>978</v>
      </c>
      <c r="E672" s="36">
        <v>43646</v>
      </c>
      <c r="F672" s="37">
        <v>90</v>
      </c>
      <c r="G672" s="38">
        <v>10</v>
      </c>
      <c r="H672" s="39">
        <f t="shared" si="144"/>
        <v>9</v>
      </c>
      <c r="I672" s="37">
        <v>887.64517499999999</v>
      </c>
      <c r="J672" s="37">
        <v>1859.3214969999999</v>
      </c>
      <c r="K672" s="37">
        <v>2262.8290029999998</v>
      </c>
      <c r="L672" s="37">
        <v>48.691364</v>
      </c>
      <c r="M672" s="37">
        <v>249.604918</v>
      </c>
      <c r="N672" s="39">
        <f t="shared" si="145"/>
        <v>73.112460999999996</v>
      </c>
      <c r="O672" s="37">
        <v>176.492457</v>
      </c>
      <c r="P672" s="40">
        <v>40</v>
      </c>
      <c r="Q672" s="40">
        <v>0</v>
      </c>
      <c r="R672" s="41">
        <f t="shared" si="146"/>
        <v>40</v>
      </c>
      <c r="S672" s="42">
        <v>828</v>
      </c>
    </row>
    <row r="673" spans="2:19" ht="15.75" x14ac:dyDescent="0.25">
      <c r="B673" s="76"/>
      <c r="C673" s="76"/>
      <c r="D673" s="77"/>
      <c r="E673" s="64"/>
      <c r="F673" s="78"/>
      <c r="G673" s="43"/>
      <c r="H673" s="79"/>
      <c r="I673" s="78"/>
      <c r="J673" s="78"/>
      <c r="K673" s="78"/>
      <c r="L673" s="78"/>
      <c r="M673" s="78"/>
      <c r="N673" s="79"/>
      <c r="O673" s="78"/>
      <c r="P673" s="80"/>
      <c r="Q673" s="80"/>
      <c r="R673" s="81"/>
      <c r="S673" s="82"/>
    </row>
    <row r="674" spans="2:19" ht="18.75" x14ac:dyDescent="0.3">
      <c r="B674" s="29"/>
      <c r="C674" s="29"/>
      <c r="D674" s="56" t="s">
        <v>43</v>
      </c>
      <c r="E674" s="29"/>
      <c r="F674" s="29"/>
      <c r="G674" s="43"/>
      <c r="H674" s="44"/>
      <c r="I674" s="31"/>
      <c r="J674" s="31"/>
      <c r="K674" s="31"/>
      <c r="L674" s="31"/>
      <c r="M674" s="31"/>
      <c r="N674" s="45"/>
      <c r="O674" s="31"/>
      <c r="P674" s="31"/>
      <c r="Q674" s="31"/>
      <c r="R674" s="45"/>
      <c r="S674" s="31"/>
    </row>
    <row r="675" spans="2:19" ht="15.75" x14ac:dyDescent="0.25">
      <c r="B675" s="60">
        <v>1</v>
      </c>
      <c r="C675" s="60" t="s">
        <v>979</v>
      </c>
      <c r="D675" s="35" t="s">
        <v>980</v>
      </c>
      <c r="E675" s="36">
        <v>43646</v>
      </c>
      <c r="F675" s="37">
        <v>75.025099999999995</v>
      </c>
      <c r="G675" s="38">
        <v>10</v>
      </c>
      <c r="H675" s="39">
        <f>+F675/G675</f>
        <v>7.5025099999999991</v>
      </c>
      <c r="I675" s="37">
        <v>37.896352</v>
      </c>
      <c r="J675" s="37">
        <v>174.25981200000001</v>
      </c>
      <c r="K675" s="37">
        <v>51.909593000000001</v>
      </c>
      <c r="L675" s="37">
        <v>0.79609099999999999</v>
      </c>
      <c r="M675" s="37">
        <v>-19.817941000000001</v>
      </c>
      <c r="N675" s="39">
        <f>+M675-O675</f>
        <v>-5.3508890000000005</v>
      </c>
      <c r="O675" s="37">
        <v>-14.467052000000001</v>
      </c>
      <c r="P675" s="40">
        <v>0</v>
      </c>
      <c r="Q675" s="40">
        <v>0</v>
      </c>
      <c r="R675" s="41">
        <f>SUM(P675:Q675)</f>
        <v>0</v>
      </c>
      <c r="S675" s="42">
        <v>740</v>
      </c>
    </row>
    <row r="676" spans="2:19" ht="15.75" x14ac:dyDescent="0.25">
      <c r="B676" s="60">
        <f>+B675+1</f>
        <v>2</v>
      </c>
      <c r="C676" s="60" t="s">
        <v>981</v>
      </c>
      <c r="D676" s="35" t="s">
        <v>982</v>
      </c>
      <c r="E676" s="36">
        <v>43646</v>
      </c>
      <c r="F676" s="37">
        <v>149.58000000000001</v>
      </c>
      <c r="G676" s="38">
        <v>10</v>
      </c>
      <c r="H676" s="39">
        <f>+F676/G676</f>
        <v>14.958000000000002</v>
      </c>
      <c r="I676" s="37">
        <v>-172.272693</v>
      </c>
      <c r="J676" s="37">
        <v>187.037779</v>
      </c>
      <c r="K676" s="37">
        <v>8.8877970000000008</v>
      </c>
      <c r="L676" s="37">
        <v>7.2465210000000004</v>
      </c>
      <c r="M676" s="37">
        <v>-14.221155</v>
      </c>
      <c r="N676" s="39">
        <f>+M676-O676</f>
        <v>3.2578980000000008</v>
      </c>
      <c r="O676" s="37">
        <v>-17.479053</v>
      </c>
      <c r="P676" s="40">
        <v>0</v>
      </c>
      <c r="Q676" s="40">
        <v>0</v>
      </c>
      <c r="R676" s="41">
        <f>SUM(P676:Q676)</f>
        <v>0</v>
      </c>
      <c r="S676" s="42">
        <v>720</v>
      </c>
    </row>
    <row r="677" spans="2:19" ht="15.75" x14ac:dyDescent="0.25">
      <c r="B677" s="60">
        <f>+B676+1</f>
        <v>3</v>
      </c>
      <c r="C677" s="60" t="s">
        <v>983</v>
      </c>
      <c r="D677" s="35" t="s">
        <v>984</v>
      </c>
      <c r="E677" s="36">
        <v>43646</v>
      </c>
      <c r="F677" s="37">
        <v>120</v>
      </c>
      <c r="G677" s="38">
        <v>10</v>
      </c>
      <c r="H677" s="39">
        <f>+F677/G677</f>
        <v>12</v>
      </c>
      <c r="I677" s="37">
        <v>-61.940500999999998</v>
      </c>
      <c r="J677" s="37">
        <v>14.779655</v>
      </c>
      <c r="K677" s="37">
        <v>0</v>
      </c>
      <c r="L677" s="37">
        <v>3.2765469999999999</v>
      </c>
      <c r="M677" s="37">
        <v>-7.3829630000000002</v>
      </c>
      <c r="N677" s="39">
        <f>+M677-O677</f>
        <v>-1.1719040000000005</v>
      </c>
      <c r="O677" s="37">
        <v>-6.2110589999999997</v>
      </c>
      <c r="P677" s="40">
        <v>0</v>
      </c>
      <c r="Q677" s="40">
        <v>0</v>
      </c>
      <c r="R677" s="41">
        <f>SUM(P677:Q677)</f>
        <v>0</v>
      </c>
      <c r="S677" s="42">
        <v>1027</v>
      </c>
    </row>
    <row r="678" spans="2:19" ht="15.75" x14ac:dyDescent="0.25">
      <c r="B678" s="29"/>
      <c r="C678" s="29"/>
      <c r="D678" s="29"/>
      <c r="E678" s="29"/>
      <c r="F678" s="29"/>
      <c r="G678" s="43"/>
      <c r="H678" s="44"/>
      <c r="I678" s="31"/>
      <c r="J678" s="31"/>
      <c r="K678" s="31"/>
      <c r="L678" s="31"/>
      <c r="M678" s="31"/>
      <c r="N678" s="45"/>
      <c r="O678" s="31"/>
      <c r="P678" s="31"/>
      <c r="Q678" s="31"/>
      <c r="R678" s="45"/>
      <c r="S678" s="31"/>
    </row>
    <row r="679" spans="2:19" ht="15.75" x14ac:dyDescent="0.25">
      <c r="B679" s="34">
        <f>COUNT(B649:B678)</f>
        <v>27</v>
      </c>
      <c r="C679" s="34"/>
      <c r="D679" s="48"/>
      <c r="E679" s="48"/>
      <c r="F679" s="48">
        <f>SUM(F649:F678)</f>
        <v>38657.203334999998</v>
      </c>
      <c r="G679" s="49"/>
      <c r="H679" s="50">
        <f t="shared" ref="H679:O679" si="148">SUM(H649:H678)</f>
        <v>4016.4776039999997</v>
      </c>
      <c r="I679" s="48">
        <f t="shared" si="148"/>
        <v>128364.52648599999</v>
      </c>
      <c r="J679" s="48">
        <f t="shared" si="148"/>
        <v>313776.92863500002</v>
      </c>
      <c r="K679" s="48">
        <f t="shared" si="148"/>
        <v>292739.67621600011</v>
      </c>
      <c r="L679" s="48">
        <f t="shared" si="148"/>
        <v>9587.8299279999956</v>
      </c>
      <c r="M679" s="48">
        <f t="shared" si="148"/>
        <v>28209.34361</v>
      </c>
      <c r="N679" s="51">
        <f t="shared" si="148"/>
        <v>7556.3994289999982</v>
      </c>
      <c r="O679" s="48">
        <f t="shared" si="148"/>
        <v>20652.944180999999</v>
      </c>
      <c r="P679" s="52"/>
      <c r="Q679" s="52"/>
      <c r="R679" s="53"/>
      <c r="S679" s="54">
        <f>SUM(S649:S678)</f>
        <v>116640</v>
      </c>
    </row>
    <row r="680" spans="2:19" ht="15.75" x14ac:dyDescent="0.25">
      <c r="B680" s="29"/>
      <c r="C680" s="29"/>
      <c r="D680" s="29"/>
      <c r="E680" s="29"/>
      <c r="F680" s="29"/>
      <c r="G680" s="43"/>
      <c r="H680" s="44"/>
      <c r="I680" s="31"/>
      <c r="J680" s="31"/>
      <c r="K680" s="31"/>
      <c r="L680" s="31"/>
      <c r="M680" s="31"/>
      <c r="N680" s="45"/>
      <c r="O680" s="31"/>
      <c r="P680" s="31"/>
      <c r="Q680" s="31"/>
      <c r="R680" s="45"/>
      <c r="S680" s="31"/>
    </row>
    <row r="681" spans="2:19" ht="15.75" x14ac:dyDescent="0.25">
      <c r="B681" s="29"/>
      <c r="C681" s="29"/>
      <c r="D681" s="29"/>
      <c r="E681" s="29"/>
      <c r="F681" s="29"/>
      <c r="G681" s="43"/>
      <c r="H681" s="44"/>
      <c r="I681" s="31"/>
      <c r="J681" s="31"/>
      <c r="K681" s="31"/>
      <c r="L681" s="31"/>
      <c r="M681" s="31"/>
      <c r="N681" s="45"/>
      <c r="O681" s="31"/>
      <c r="P681" s="31"/>
      <c r="Q681" s="31"/>
      <c r="R681" s="45"/>
      <c r="S681" s="31"/>
    </row>
    <row r="682" spans="2:19" ht="18.75" x14ac:dyDescent="0.3">
      <c r="B682" s="29"/>
      <c r="C682" s="33">
        <v>30</v>
      </c>
      <c r="D682" s="33" t="s">
        <v>985</v>
      </c>
      <c r="E682" s="61"/>
      <c r="F682" s="61"/>
      <c r="G682" s="43"/>
      <c r="H682" s="44"/>
      <c r="I682" s="31"/>
      <c r="J682" s="31"/>
      <c r="K682" s="31"/>
      <c r="L682" s="31"/>
      <c r="M682" s="31"/>
      <c r="N682" s="45"/>
      <c r="O682" s="31"/>
      <c r="P682" s="31"/>
      <c r="Q682" s="31"/>
      <c r="R682" s="45"/>
      <c r="S682" s="31"/>
    </row>
    <row r="683" spans="2:19" ht="15.75" x14ac:dyDescent="0.25">
      <c r="B683" s="29"/>
      <c r="C683" s="29"/>
      <c r="D683" s="29"/>
      <c r="E683" s="29"/>
      <c r="F683" s="29"/>
      <c r="G683" s="43"/>
      <c r="H683" s="44"/>
      <c r="I683" s="31"/>
      <c r="J683" s="31"/>
      <c r="K683" s="31"/>
      <c r="L683" s="31"/>
      <c r="M683" s="31"/>
      <c r="N683" s="45"/>
      <c r="O683" s="31"/>
      <c r="P683" s="31"/>
      <c r="Q683" s="31"/>
      <c r="R683" s="45"/>
      <c r="S683" s="31"/>
    </row>
    <row r="684" spans="2:19" ht="15.75" x14ac:dyDescent="0.25">
      <c r="B684" s="34">
        <v>1</v>
      </c>
      <c r="C684" s="60" t="s">
        <v>986</v>
      </c>
      <c r="D684" s="35" t="s">
        <v>987</v>
      </c>
      <c r="E684" s="36">
        <v>43646</v>
      </c>
      <c r="F684" s="37">
        <v>1470.184</v>
      </c>
      <c r="G684" s="38">
        <v>10</v>
      </c>
      <c r="H684" s="39">
        <f t="shared" ref="H684:H690" si="149">+F684/G684</f>
        <v>147.01839999999999</v>
      </c>
      <c r="I684" s="37">
        <v>6188.9340000000002</v>
      </c>
      <c r="J684" s="37">
        <v>18453.741999999998</v>
      </c>
      <c r="K684" s="37">
        <v>22240.624</v>
      </c>
      <c r="L684" s="37">
        <v>762.16499999999996</v>
      </c>
      <c r="M684" s="37">
        <v>1238.9770000000001</v>
      </c>
      <c r="N684" s="39">
        <f t="shared" ref="N684:N690" si="150">+M684-O684</f>
        <v>354.82300000000009</v>
      </c>
      <c r="O684" s="37">
        <v>884.154</v>
      </c>
      <c r="P684" s="40">
        <v>10</v>
      </c>
      <c r="Q684" s="40">
        <v>0</v>
      </c>
      <c r="R684" s="41">
        <f t="shared" ref="R684:R690" si="151">SUM(P684:Q684)</f>
        <v>10</v>
      </c>
      <c r="S684" s="42">
        <v>1987</v>
      </c>
    </row>
    <row r="685" spans="2:19" ht="15.75" x14ac:dyDescent="0.25">
      <c r="B685" s="34">
        <f t="shared" ref="B685:B690" si="152">+B684+1</f>
        <v>2</v>
      </c>
      <c r="C685" s="34" t="s">
        <v>988</v>
      </c>
      <c r="D685" s="35" t="s">
        <v>989</v>
      </c>
      <c r="E685" s="36">
        <v>43646</v>
      </c>
      <c r="F685" s="37">
        <v>386.42599999999999</v>
      </c>
      <c r="G685" s="38">
        <v>10</v>
      </c>
      <c r="H685" s="39">
        <f t="shared" si="149"/>
        <v>38.642600000000002</v>
      </c>
      <c r="I685" s="37">
        <v>4466.2380000000003</v>
      </c>
      <c r="J685" s="37">
        <v>11351.442999999999</v>
      </c>
      <c r="K685" s="37">
        <v>8093.4070000000002</v>
      </c>
      <c r="L685" s="37">
        <v>506.55399999999997</v>
      </c>
      <c r="M685" s="37">
        <v>660.08</v>
      </c>
      <c r="N685" s="39">
        <f t="shared" si="150"/>
        <v>97.206999999999994</v>
      </c>
      <c r="O685" s="37">
        <v>562.87300000000005</v>
      </c>
      <c r="P685" s="40">
        <f>25+25</f>
        <v>50</v>
      </c>
      <c r="Q685" s="40">
        <v>10</v>
      </c>
      <c r="R685" s="41">
        <f t="shared" si="151"/>
        <v>60</v>
      </c>
      <c r="S685" s="42">
        <v>1959</v>
      </c>
    </row>
    <row r="686" spans="2:19" ht="15.75" x14ac:dyDescent="0.25">
      <c r="B686" s="34">
        <f t="shared" si="152"/>
        <v>3</v>
      </c>
      <c r="C686" s="34" t="s">
        <v>990</v>
      </c>
      <c r="D686" s="35" t="s">
        <v>991</v>
      </c>
      <c r="E686" s="36">
        <v>43646</v>
      </c>
      <c r="F686" s="37">
        <v>806.28398000000004</v>
      </c>
      <c r="G686" s="38">
        <v>10</v>
      </c>
      <c r="H686" s="39">
        <f t="shared" si="149"/>
        <v>80.628398000000004</v>
      </c>
      <c r="I686" s="37">
        <v>1018.206085</v>
      </c>
      <c r="J686" s="37">
        <v>46236.198821999998</v>
      </c>
      <c r="K686" s="37">
        <v>2859.838021</v>
      </c>
      <c r="L686" s="37">
        <v>223.922608</v>
      </c>
      <c r="M686" s="37">
        <v>-350.45677799999999</v>
      </c>
      <c r="N686" s="39">
        <f t="shared" si="150"/>
        <v>-39.920866999999987</v>
      </c>
      <c r="O686" s="37">
        <v>-310.535911</v>
      </c>
      <c r="P686" s="40">
        <v>0</v>
      </c>
      <c r="Q686" s="40">
        <v>0</v>
      </c>
      <c r="R686" s="41">
        <f t="shared" si="151"/>
        <v>0</v>
      </c>
      <c r="S686" s="42">
        <v>1308</v>
      </c>
    </row>
    <row r="687" spans="2:19" ht="15.75" x14ac:dyDescent="0.25">
      <c r="B687" s="34">
        <f t="shared" si="152"/>
        <v>4</v>
      </c>
      <c r="C687" s="34" t="s">
        <v>992</v>
      </c>
      <c r="D687" s="35" t="s">
        <v>993</v>
      </c>
      <c r="E687" s="36">
        <v>43830</v>
      </c>
      <c r="F687" s="37">
        <v>893.79499999999996</v>
      </c>
      <c r="G687" s="38">
        <v>10</v>
      </c>
      <c r="H687" s="39">
        <f t="shared" si="149"/>
        <v>89.379499999999993</v>
      </c>
      <c r="I687" s="37">
        <v>52921.978000000003</v>
      </c>
      <c r="J687" s="37">
        <v>66826.513000000006</v>
      </c>
      <c r="K687" s="37">
        <v>22915.764999999999</v>
      </c>
      <c r="L687" s="37">
        <v>1055.94</v>
      </c>
      <c r="M687" s="37">
        <v>2165.672</v>
      </c>
      <c r="N687" s="39">
        <f t="shared" si="150"/>
        <v>819.36899999999991</v>
      </c>
      <c r="O687" s="37">
        <v>1346.3030000000001</v>
      </c>
      <c r="P687" s="40">
        <v>120</v>
      </c>
      <c r="Q687" s="40">
        <v>0</v>
      </c>
      <c r="R687" s="41">
        <f t="shared" si="151"/>
        <v>120</v>
      </c>
      <c r="S687" s="42">
        <v>4686</v>
      </c>
    </row>
    <row r="688" spans="2:19" ht="15.75" x14ac:dyDescent="0.25">
      <c r="B688" s="34">
        <f t="shared" si="152"/>
        <v>5</v>
      </c>
      <c r="C688" s="60" t="s">
        <v>994</v>
      </c>
      <c r="D688" s="35" t="s">
        <v>995</v>
      </c>
      <c r="E688" s="36">
        <v>43646</v>
      </c>
      <c r="F688" s="37">
        <v>80</v>
      </c>
      <c r="G688" s="38">
        <v>10</v>
      </c>
      <c r="H688" s="39">
        <f t="shared" si="149"/>
        <v>8</v>
      </c>
      <c r="I688" s="37">
        <v>947.25791700000002</v>
      </c>
      <c r="J688" s="37">
        <v>1234.1807960000001</v>
      </c>
      <c r="K688" s="37">
        <v>969.74792600000001</v>
      </c>
      <c r="L688" s="37">
        <v>27.016141000000001</v>
      </c>
      <c r="M688" s="37">
        <v>23.968439</v>
      </c>
      <c r="N688" s="39">
        <f t="shared" si="150"/>
        <v>5.9936730000000011</v>
      </c>
      <c r="O688" s="37">
        <v>17.974765999999999</v>
      </c>
      <c r="P688" s="40">
        <v>10</v>
      </c>
      <c r="Q688" s="40">
        <v>0</v>
      </c>
      <c r="R688" s="41">
        <f t="shared" si="151"/>
        <v>10</v>
      </c>
      <c r="S688" s="42">
        <v>761</v>
      </c>
    </row>
    <row r="689" spans="2:19" ht="15.75" x14ac:dyDescent="0.25">
      <c r="B689" s="34">
        <f t="shared" si="152"/>
        <v>6</v>
      </c>
      <c r="C689" s="60" t="s">
        <v>996</v>
      </c>
      <c r="D689" s="35" t="s">
        <v>997</v>
      </c>
      <c r="E689" s="36">
        <v>43646</v>
      </c>
      <c r="F689" s="37">
        <v>1419</v>
      </c>
      <c r="G689" s="38">
        <v>10</v>
      </c>
      <c r="H689" s="39">
        <f t="shared" si="149"/>
        <v>141.9</v>
      </c>
      <c r="I689" s="37">
        <v>5614.4861760000003</v>
      </c>
      <c r="J689" s="37">
        <v>9205.4751940000006</v>
      </c>
      <c r="K689" s="37">
        <v>5397.1239409999998</v>
      </c>
      <c r="L689" s="37">
        <v>186.632757</v>
      </c>
      <c r="M689" s="37">
        <v>41.217174</v>
      </c>
      <c r="N689" s="39">
        <f t="shared" si="150"/>
        <v>68.115249000000006</v>
      </c>
      <c r="O689" s="37">
        <v>-26.898074999999999</v>
      </c>
      <c r="P689" s="40">
        <v>0</v>
      </c>
      <c r="Q689" s="40">
        <v>0</v>
      </c>
      <c r="R689" s="41">
        <f t="shared" ref="R689" si="153">SUM(P689:Q689)</f>
        <v>0</v>
      </c>
      <c r="S689" s="42">
        <v>6400</v>
      </c>
    </row>
    <row r="690" spans="2:19" ht="15.75" x14ac:dyDescent="0.25">
      <c r="B690" s="34">
        <f t="shared" si="152"/>
        <v>7</v>
      </c>
      <c r="C690" s="60" t="s">
        <v>998</v>
      </c>
      <c r="D690" s="35" t="s">
        <v>999</v>
      </c>
      <c r="E690" s="36">
        <v>43646</v>
      </c>
      <c r="F690" s="37">
        <v>592.55899999999997</v>
      </c>
      <c r="G690" s="38">
        <v>10</v>
      </c>
      <c r="H690" s="39">
        <f t="shared" si="149"/>
        <v>59.255899999999997</v>
      </c>
      <c r="I690" s="37">
        <v>4938.0959999999995</v>
      </c>
      <c r="J690" s="37">
        <v>6084.4340000000002</v>
      </c>
      <c r="K690" s="37">
        <v>4001.5909999999999</v>
      </c>
      <c r="L690" s="37">
        <v>3.093</v>
      </c>
      <c r="M690" s="37">
        <v>1159.2819999999999</v>
      </c>
      <c r="N690" s="39">
        <f t="shared" si="150"/>
        <v>387.24799999999993</v>
      </c>
      <c r="O690" s="37">
        <v>772.03399999999999</v>
      </c>
      <c r="P690" s="40">
        <f>10+72.5</f>
        <v>82.5</v>
      </c>
      <c r="Q690" s="40">
        <v>0</v>
      </c>
      <c r="R690" s="41">
        <f t="shared" si="151"/>
        <v>82.5</v>
      </c>
      <c r="S690" s="42">
        <v>2091</v>
      </c>
    </row>
    <row r="691" spans="2:19" ht="15.75" x14ac:dyDescent="0.25">
      <c r="B691" s="29"/>
      <c r="C691" s="29"/>
      <c r="D691" s="29"/>
      <c r="E691" s="29"/>
      <c r="F691" s="29"/>
      <c r="G691" s="43"/>
      <c r="H691" s="44"/>
      <c r="I691" s="31"/>
      <c r="J691" s="31"/>
      <c r="K691" s="31"/>
      <c r="L691" s="31"/>
      <c r="M691" s="31"/>
      <c r="N691" s="45"/>
      <c r="O691" s="31"/>
      <c r="P691" s="31"/>
      <c r="Q691" s="31"/>
      <c r="R691" s="45"/>
      <c r="S691" s="31"/>
    </row>
    <row r="692" spans="2:19" ht="18.75" x14ac:dyDescent="0.3">
      <c r="B692" s="29"/>
      <c r="C692" s="29"/>
      <c r="D692" s="56" t="s">
        <v>43</v>
      </c>
      <c r="E692" s="29"/>
      <c r="F692" s="29"/>
      <c r="G692" s="43"/>
      <c r="H692" s="44"/>
      <c r="I692" s="31"/>
      <c r="J692" s="31"/>
      <c r="K692" s="31"/>
      <c r="L692" s="31"/>
      <c r="M692" s="31"/>
      <c r="N692" s="45"/>
      <c r="O692" s="31"/>
      <c r="P692" s="31"/>
      <c r="Q692" s="31"/>
      <c r="R692" s="45"/>
      <c r="S692" s="31"/>
    </row>
    <row r="693" spans="2:19" ht="15.75" x14ac:dyDescent="0.25">
      <c r="B693" s="60">
        <v>1</v>
      </c>
      <c r="C693" s="60" t="s">
        <v>1000</v>
      </c>
      <c r="D693" s="35" t="s">
        <v>1001</v>
      </c>
      <c r="E693" s="36">
        <v>43646</v>
      </c>
      <c r="F693" s="37"/>
      <c r="G693" s="38">
        <v>10</v>
      </c>
      <c r="H693" s="39">
        <f>+F693/G693</f>
        <v>0</v>
      </c>
      <c r="I693" s="37"/>
      <c r="J693" s="37"/>
      <c r="K693" s="37"/>
      <c r="L693" s="37"/>
      <c r="M693" s="37"/>
      <c r="N693" s="37">
        <f>+M693-O693</f>
        <v>0</v>
      </c>
      <c r="O693" s="37"/>
      <c r="P693" s="40"/>
      <c r="Q693" s="40"/>
      <c r="R693" s="40">
        <f>SUM(P693:Q693)</f>
        <v>0</v>
      </c>
      <c r="S693" s="42"/>
    </row>
    <row r="694" spans="2:19" ht="15.75" x14ac:dyDescent="0.25">
      <c r="B694" s="60">
        <f>+B693+1</f>
        <v>2</v>
      </c>
      <c r="C694" s="34" t="s">
        <v>1002</v>
      </c>
      <c r="D694" s="35" t="s">
        <v>1003</v>
      </c>
      <c r="E694" s="36">
        <v>43646</v>
      </c>
      <c r="F694" s="37">
        <v>30</v>
      </c>
      <c r="G694" s="38">
        <v>5</v>
      </c>
      <c r="H694" s="39">
        <f>+F694/G694</f>
        <v>6</v>
      </c>
      <c r="I694" s="37">
        <v>-7.4260000000000002</v>
      </c>
      <c r="J694" s="37">
        <v>6.5350000000000001</v>
      </c>
      <c r="K694" s="37">
        <v>2.38</v>
      </c>
      <c r="L694" s="37">
        <v>0.13200000000000001</v>
      </c>
      <c r="M694" s="37">
        <v>-0.41399999999999998</v>
      </c>
      <c r="N694" s="39">
        <f>+M694-O694</f>
        <v>0.49300000000000005</v>
      </c>
      <c r="O694" s="37">
        <v>-0.90700000000000003</v>
      </c>
      <c r="P694" s="40">
        <v>0</v>
      </c>
      <c r="Q694" s="40">
        <v>0</v>
      </c>
      <c r="R694" s="41">
        <f>SUM(P694:Q694)</f>
        <v>0</v>
      </c>
      <c r="S694" s="42">
        <v>1370</v>
      </c>
    </row>
    <row r="695" spans="2:19" ht="15.75" x14ac:dyDescent="0.25">
      <c r="B695" s="60">
        <f>+B694+1</f>
        <v>3</v>
      </c>
      <c r="C695" s="34" t="s">
        <v>1004</v>
      </c>
      <c r="D695" s="35" t="s">
        <v>1005</v>
      </c>
      <c r="E695" s="36">
        <v>43646</v>
      </c>
      <c r="F695" s="37">
        <v>40</v>
      </c>
      <c r="G695" s="38">
        <v>10</v>
      </c>
      <c r="H695" s="39">
        <f>+F695/G695</f>
        <v>4</v>
      </c>
      <c r="I695" s="37">
        <v>112.35138499999999</v>
      </c>
      <c r="J695" s="37">
        <v>152.56579600000001</v>
      </c>
      <c r="K695" s="37">
        <v>0</v>
      </c>
      <c r="L695" s="37">
        <v>0</v>
      </c>
      <c r="M695" s="37">
        <v>-16.249839000000001</v>
      </c>
      <c r="N695" s="39">
        <f>+M695-O695</f>
        <v>-4.0876870000000007</v>
      </c>
      <c r="O695" s="37">
        <v>-12.162152000000001</v>
      </c>
      <c r="P695" s="40">
        <v>0</v>
      </c>
      <c r="Q695" s="40">
        <v>0</v>
      </c>
      <c r="R695" s="41">
        <f>SUM(P695:Q695)</f>
        <v>0</v>
      </c>
      <c r="S695" s="42">
        <v>88</v>
      </c>
    </row>
    <row r="696" spans="2:19" ht="15.75" x14ac:dyDescent="0.25">
      <c r="B696" s="29"/>
      <c r="C696" s="29"/>
      <c r="D696" s="29"/>
      <c r="E696" s="29"/>
      <c r="F696" s="29"/>
      <c r="G696" s="43"/>
      <c r="H696" s="44"/>
      <c r="I696" s="31"/>
      <c r="J696" s="31"/>
      <c r="K696" s="31"/>
      <c r="L696" s="31"/>
      <c r="M696" s="31"/>
      <c r="N696" s="45"/>
      <c r="O696" s="31"/>
      <c r="P696" s="31"/>
      <c r="Q696" s="31"/>
      <c r="R696" s="45"/>
      <c r="S696" s="31"/>
    </row>
    <row r="697" spans="2:19" ht="15.75" x14ac:dyDescent="0.25">
      <c r="B697" s="34">
        <f>COUNT(B684:B696)</f>
        <v>10</v>
      </c>
      <c r="C697" s="34"/>
      <c r="D697" s="48"/>
      <c r="E697" s="48"/>
      <c r="F697" s="48">
        <f>SUM(F684:F696)</f>
        <v>5718.2479800000001</v>
      </c>
      <c r="G697" s="49"/>
      <c r="H697" s="50">
        <f t="shared" ref="H697:O697" si="154">SUM(H684:H696)</f>
        <v>574.82479799999999</v>
      </c>
      <c r="I697" s="48">
        <f t="shared" si="154"/>
        <v>76200.121563000008</v>
      </c>
      <c r="J697" s="48">
        <f t="shared" si="154"/>
        <v>159551.08760800003</v>
      </c>
      <c r="K697" s="48">
        <f t="shared" si="154"/>
        <v>66480.476888000005</v>
      </c>
      <c r="L697" s="48">
        <f t="shared" si="154"/>
        <v>2765.4555060000002</v>
      </c>
      <c r="M697" s="48">
        <f t="shared" si="154"/>
        <v>4922.0759960000005</v>
      </c>
      <c r="N697" s="51">
        <f t="shared" si="154"/>
        <v>1689.240368</v>
      </c>
      <c r="O697" s="48">
        <f t="shared" si="154"/>
        <v>3232.8356279999998</v>
      </c>
      <c r="P697" s="52"/>
      <c r="Q697" s="52"/>
      <c r="R697" s="53"/>
      <c r="S697" s="54">
        <f>SUM(S684:S696)</f>
        <v>20650</v>
      </c>
    </row>
    <row r="698" spans="2:19" ht="15.75" x14ac:dyDescent="0.25">
      <c r="B698" s="29"/>
      <c r="C698" s="29"/>
      <c r="D698" s="29"/>
      <c r="E698" s="29"/>
      <c r="F698" s="29"/>
      <c r="G698" s="43"/>
      <c r="H698" s="44"/>
      <c r="I698" s="31"/>
      <c r="J698" s="31"/>
      <c r="K698" s="31"/>
      <c r="L698" s="31"/>
      <c r="M698" s="31"/>
      <c r="N698" s="45"/>
      <c r="O698" s="31"/>
      <c r="P698" s="31"/>
      <c r="Q698" s="31"/>
      <c r="R698" s="45"/>
      <c r="S698" s="31"/>
    </row>
    <row r="699" spans="2:19" ht="15.75" x14ac:dyDescent="0.25">
      <c r="B699" s="29"/>
      <c r="C699" s="29"/>
      <c r="D699" s="29"/>
      <c r="E699" s="29"/>
      <c r="F699" s="29"/>
      <c r="G699" s="43"/>
      <c r="H699" s="44"/>
      <c r="I699" s="31"/>
      <c r="J699" s="31"/>
      <c r="K699" s="31"/>
      <c r="L699" s="31"/>
      <c r="M699" s="31"/>
      <c r="N699" s="45"/>
      <c r="O699" s="31"/>
      <c r="P699" s="31"/>
      <c r="Q699" s="31"/>
      <c r="R699" s="45"/>
      <c r="S699" s="31"/>
    </row>
    <row r="700" spans="2:19" ht="18.75" x14ac:dyDescent="0.3">
      <c r="B700" s="29"/>
      <c r="C700" s="33">
        <v>31</v>
      </c>
      <c r="D700" s="33" t="s">
        <v>1006</v>
      </c>
      <c r="E700" s="61"/>
      <c r="F700" s="61"/>
      <c r="G700" s="43"/>
      <c r="H700" s="44"/>
      <c r="I700" s="31"/>
      <c r="J700" s="31"/>
      <c r="K700" s="31"/>
      <c r="L700" s="31"/>
      <c r="M700" s="31"/>
      <c r="N700" s="45"/>
      <c r="O700" s="31"/>
      <c r="P700" s="31"/>
      <c r="Q700" s="31"/>
      <c r="R700" s="45"/>
      <c r="S700" s="31"/>
    </row>
    <row r="701" spans="2:19" ht="15.75" x14ac:dyDescent="0.25">
      <c r="B701" s="29"/>
      <c r="C701" s="29"/>
      <c r="D701" s="29"/>
      <c r="E701" s="29"/>
      <c r="F701" s="29"/>
      <c r="G701" s="43"/>
      <c r="H701" s="44"/>
      <c r="I701" s="31"/>
      <c r="J701" s="31"/>
      <c r="K701" s="31"/>
      <c r="L701" s="31"/>
      <c r="M701" s="31"/>
      <c r="N701" s="45"/>
      <c r="O701" s="31"/>
      <c r="P701" s="31"/>
      <c r="Q701" s="31"/>
      <c r="R701" s="45"/>
      <c r="S701" s="31"/>
    </row>
    <row r="702" spans="2:19" ht="15.75" x14ac:dyDescent="0.25">
      <c r="B702" s="34">
        <v>1</v>
      </c>
      <c r="C702" s="34" t="s">
        <v>1007</v>
      </c>
      <c r="D702" s="35" t="s">
        <v>1008</v>
      </c>
      <c r="E702" s="36">
        <v>43646</v>
      </c>
      <c r="F702" s="37">
        <v>53.90652</v>
      </c>
      <c r="G702" s="38">
        <v>10</v>
      </c>
      <c r="H702" s="39">
        <f>+F702/G702</f>
        <v>5.3906520000000002</v>
      </c>
      <c r="I702" s="37">
        <v>1242.492919</v>
      </c>
      <c r="J702" s="37">
        <v>2198.6192580000002</v>
      </c>
      <c r="K702" s="37">
        <v>5504.2262719999999</v>
      </c>
      <c r="L702" s="37">
        <v>15.956014</v>
      </c>
      <c r="M702" s="37">
        <v>228.48138599999999</v>
      </c>
      <c r="N702" s="39">
        <f>+M702-O702</f>
        <v>121.10356599999999</v>
      </c>
      <c r="O702" s="37">
        <v>107.37782</v>
      </c>
      <c r="P702" s="40">
        <f>35+40</f>
        <v>75</v>
      </c>
      <c r="Q702" s="40">
        <v>0</v>
      </c>
      <c r="R702" s="41">
        <f>SUM(P702:Q702)</f>
        <v>75</v>
      </c>
      <c r="S702" s="42">
        <v>1119</v>
      </c>
    </row>
    <row r="703" spans="2:19" ht="15.75" x14ac:dyDescent="0.25">
      <c r="B703" s="34">
        <f>+B702+1</f>
        <v>2</v>
      </c>
      <c r="C703" s="34" t="s">
        <v>1009</v>
      </c>
      <c r="D703" s="35" t="s">
        <v>1010</v>
      </c>
      <c r="E703" s="36">
        <v>43646</v>
      </c>
      <c r="F703" s="37">
        <v>56.584000000000003</v>
      </c>
      <c r="G703" s="38">
        <v>10</v>
      </c>
      <c r="H703" s="39">
        <f>+F703/G703</f>
        <v>5.6584000000000003</v>
      </c>
      <c r="I703" s="37">
        <v>969.92488300000002</v>
      </c>
      <c r="J703" s="37">
        <v>2475.470045</v>
      </c>
      <c r="K703" s="37">
        <v>3890.1627880000001</v>
      </c>
      <c r="L703" s="37">
        <v>140.10574800000001</v>
      </c>
      <c r="M703" s="37">
        <v>43.67895</v>
      </c>
      <c r="N703" s="39">
        <f>+M703-O703</f>
        <v>30.544729</v>
      </c>
      <c r="O703" s="37">
        <v>13.134221</v>
      </c>
      <c r="P703" s="40">
        <v>10</v>
      </c>
      <c r="Q703" s="40">
        <v>0</v>
      </c>
      <c r="R703" s="41">
        <f>SUM(P703:Q703)</f>
        <v>10</v>
      </c>
      <c r="S703" s="42">
        <v>948</v>
      </c>
    </row>
    <row r="704" spans="2:19" ht="15.75" x14ac:dyDescent="0.25">
      <c r="B704" s="34">
        <f>+B703+1</f>
        <v>3</v>
      </c>
      <c r="C704" s="60" t="s">
        <v>1011</v>
      </c>
      <c r="D704" s="35" t="s">
        <v>1012</v>
      </c>
      <c r="E704" s="36">
        <v>43646</v>
      </c>
      <c r="F704" s="37">
        <v>5440.5</v>
      </c>
      <c r="G704" s="38">
        <v>10</v>
      </c>
      <c r="H704" s="39">
        <f>+F704/G704</f>
        <v>544.04999999999995</v>
      </c>
      <c r="I704" s="37">
        <v>5694.4671779999999</v>
      </c>
      <c r="J704" s="37">
        <v>10465.626181</v>
      </c>
      <c r="K704" s="37">
        <v>14097.237284000001</v>
      </c>
      <c r="L704" s="37">
        <v>288.207562</v>
      </c>
      <c r="M704" s="37">
        <v>274.72161799999998</v>
      </c>
      <c r="N704" s="39">
        <f>+M704-O704</f>
        <v>19.647097999999971</v>
      </c>
      <c r="O704" s="37">
        <v>255.07452000000001</v>
      </c>
      <c r="P704" s="40">
        <v>1</v>
      </c>
      <c r="Q704" s="40">
        <v>0</v>
      </c>
      <c r="R704" s="41">
        <f>SUM(P704:Q704)</f>
        <v>1</v>
      </c>
      <c r="S704" s="42">
        <v>5654</v>
      </c>
    </row>
    <row r="705" spans="2:19" ht="15.75" x14ac:dyDescent="0.25">
      <c r="B705" s="29"/>
      <c r="C705" s="29"/>
      <c r="D705" s="29"/>
      <c r="E705" s="29"/>
      <c r="F705" s="29"/>
      <c r="G705" s="43"/>
      <c r="H705" s="44"/>
      <c r="I705" s="31"/>
      <c r="J705" s="31"/>
      <c r="K705" s="31"/>
      <c r="L705" s="31"/>
      <c r="M705" s="31"/>
      <c r="N705" s="45"/>
      <c r="O705" s="31"/>
      <c r="P705" s="31"/>
      <c r="Q705" s="31"/>
      <c r="R705" s="45"/>
      <c r="S705" s="31"/>
    </row>
    <row r="706" spans="2:19" ht="18.75" x14ac:dyDescent="0.3">
      <c r="B706" s="29"/>
      <c r="C706" s="29"/>
      <c r="D706" s="56" t="s">
        <v>43</v>
      </c>
      <c r="E706" s="29"/>
      <c r="F706" s="29"/>
      <c r="G706" s="43"/>
      <c r="H706" s="44"/>
      <c r="I706" s="31"/>
      <c r="J706" s="31"/>
      <c r="K706" s="31"/>
      <c r="L706" s="31"/>
      <c r="M706" s="31"/>
      <c r="N706" s="45"/>
      <c r="O706" s="31"/>
      <c r="P706" s="31"/>
      <c r="Q706" s="31"/>
      <c r="R706" s="45"/>
      <c r="S706" s="31"/>
    </row>
    <row r="707" spans="2:19" ht="15.75" x14ac:dyDescent="0.25">
      <c r="B707" s="34">
        <v>1</v>
      </c>
      <c r="C707" s="34" t="s">
        <v>1013</v>
      </c>
      <c r="D707" s="35" t="s">
        <v>1014</v>
      </c>
      <c r="E707" s="36">
        <v>43738</v>
      </c>
      <c r="F707" s="37"/>
      <c r="G707" s="38">
        <v>10</v>
      </c>
      <c r="H707" s="39">
        <f>+F707/G707</f>
        <v>0</v>
      </c>
      <c r="I707" s="37"/>
      <c r="J707" s="37"/>
      <c r="K707" s="37"/>
      <c r="L707" s="37"/>
      <c r="M707" s="37"/>
      <c r="N707" s="39">
        <f>+M707-O707</f>
        <v>0</v>
      </c>
      <c r="O707" s="37"/>
      <c r="P707" s="40"/>
      <c r="Q707" s="40"/>
      <c r="R707" s="41">
        <f>SUM(P707:Q707)</f>
        <v>0</v>
      </c>
      <c r="S707" s="42"/>
    </row>
    <row r="708" spans="2:19" ht="15.75" x14ac:dyDescent="0.25">
      <c r="B708" s="34">
        <f>+B707+1</f>
        <v>2</v>
      </c>
      <c r="C708" s="34" t="s">
        <v>1015</v>
      </c>
      <c r="D708" s="35" t="s">
        <v>1016</v>
      </c>
      <c r="E708" s="36">
        <v>43646</v>
      </c>
      <c r="F708" s="37"/>
      <c r="G708" s="38">
        <v>10</v>
      </c>
      <c r="H708" s="39">
        <f>+F708/G708</f>
        <v>0</v>
      </c>
      <c r="I708" s="37"/>
      <c r="J708" s="37"/>
      <c r="K708" s="37"/>
      <c r="L708" s="37"/>
      <c r="M708" s="37"/>
      <c r="N708" s="39">
        <f>+M708-O708</f>
        <v>0</v>
      </c>
      <c r="O708" s="37"/>
      <c r="P708" s="40"/>
      <c r="Q708" s="40"/>
      <c r="R708" s="41">
        <f>SUM(P708:Q708)</f>
        <v>0</v>
      </c>
      <c r="S708" s="42"/>
    </row>
    <row r="709" spans="2:19" ht="15.75" x14ac:dyDescent="0.25">
      <c r="B709" s="34">
        <f>+B703+1</f>
        <v>3</v>
      </c>
      <c r="C709" s="34" t="s">
        <v>1017</v>
      </c>
      <c r="D709" s="35" t="s">
        <v>1018</v>
      </c>
      <c r="E709" s="36">
        <v>43646</v>
      </c>
      <c r="F709" s="37"/>
      <c r="G709" s="38">
        <v>10</v>
      </c>
      <c r="H709" s="39">
        <f>+F709/G709</f>
        <v>0</v>
      </c>
      <c r="I709" s="37"/>
      <c r="J709" s="37"/>
      <c r="K709" s="37"/>
      <c r="L709" s="37"/>
      <c r="M709" s="37"/>
      <c r="N709" s="39">
        <f>+M709-O709</f>
        <v>0</v>
      </c>
      <c r="O709" s="37"/>
      <c r="P709" s="40"/>
      <c r="Q709" s="40"/>
      <c r="R709" s="41">
        <f>SUM(P709:Q709)</f>
        <v>0</v>
      </c>
      <c r="S709" s="42"/>
    </row>
    <row r="710" spans="2:19" ht="15.75" x14ac:dyDescent="0.25">
      <c r="B710" s="29"/>
      <c r="C710" s="29"/>
      <c r="D710" s="29"/>
      <c r="E710" s="29"/>
      <c r="F710" s="29"/>
      <c r="G710" s="43"/>
      <c r="H710" s="44"/>
      <c r="I710" s="31"/>
      <c r="J710" s="31"/>
      <c r="K710" s="31"/>
      <c r="L710" s="31"/>
      <c r="M710" s="31"/>
      <c r="N710" s="45"/>
      <c r="O710" s="31"/>
      <c r="P710" s="31"/>
      <c r="Q710" s="31"/>
      <c r="R710" s="45"/>
      <c r="S710" s="31"/>
    </row>
    <row r="711" spans="2:19" ht="15.75" x14ac:dyDescent="0.25">
      <c r="B711" s="34">
        <f>COUNT(B702:B710)</f>
        <v>6</v>
      </c>
      <c r="C711" s="34"/>
      <c r="D711" s="48"/>
      <c r="E711" s="48"/>
      <c r="F711" s="48">
        <f>SUM(F702:F710)</f>
        <v>5550.9905200000003</v>
      </c>
      <c r="G711" s="49"/>
      <c r="H711" s="50">
        <f t="shared" ref="H711:O711" si="155">SUM(H702:H710)</f>
        <v>555.09905199999992</v>
      </c>
      <c r="I711" s="48">
        <f t="shared" si="155"/>
        <v>7906.8849799999998</v>
      </c>
      <c r="J711" s="48">
        <f t="shared" si="155"/>
        <v>15139.715484</v>
      </c>
      <c r="K711" s="48">
        <f t="shared" si="155"/>
        <v>23491.626344</v>
      </c>
      <c r="L711" s="48">
        <f t="shared" si="155"/>
        <v>444.26932399999998</v>
      </c>
      <c r="M711" s="48">
        <f t="shared" si="155"/>
        <v>546.88195399999995</v>
      </c>
      <c r="N711" s="51">
        <f t="shared" si="155"/>
        <v>171.29539299999996</v>
      </c>
      <c r="O711" s="48">
        <f t="shared" si="155"/>
        <v>375.58656100000002</v>
      </c>
      <c r="P711" s="52"/>
      <c r="Q711" s="52"/>
      <c r="R711" s="53"/>
      <c r="S711" s="54">
        <f>SUM(S702:S710)</f>
        <v>7721</v>
      </c>
    </row>
    <row r="712" spans="2:19" ht="15.75" x14ac:dyDescent="0.25">
      <c r="B712" s="29"/>
      <c r="C712" s="29"/>
      <c r="D712" s="29"/>
      <c r="E712" s="29"/>
      <c r="F712" s="29"/>
      <c r="G712" s="43"/>
      <c r="H712" s="44"/>
      <c r="I712" s="31"/>
      <c r="J712" s="31"/>
      <c r="K712" s="31"/>
      <c r="L712" s="31"/>
      <c r="M712" s="31"/>
      <c r="N712" s="45"/>
      <c r="O712" s="31"/>
      <c r="P712" s="31"/>
      <c r="Q712" s="31"/>
      <c r="R712" s="45"/>
      <c r="S712" s="31"/>
    </row>
    <row r="713" spans="2:19" ht="15.75" x14ac:dyDescent="0.25">
      <c r="B713" s="29"/>
      <c r="C713" s="29"/>
      <c r="D713" s="29"/>
      <c r="E713" s="29"/>
      <c r="F713" s="29"/>
      <c r="G713" s="43"/>
      <c r="H713" s="44"/>
      <c r="I713" s="31"/>
      <c r="J713" s="31"/>
      <c r="K713" s="31"/>
      <c r="L713" s="31"/>
      <c r="M713" s="31"/>
      <c r="N713" s="45"/>
      <c r="O713" s="31"/>
      <c r="P713" s="31"/>
      <c r="Q713" s="31"/>
      <c r="R713" s="45"/>
      <c r="S713" s="31"/>
    </row>
    <row r="714" spans="2:19" ht="18.75" x14ac:dyDescent="0.3">
      <c r="B714" s="29"/>
      <c r="C714" s="33">
        <v>32</v>
      </c>
      <c r="D714" s="33" t="s">
        <v>1019</v>
      </c>
      <c r="E714" s="61"/>
      <c r="F714" s="61"/>
      <c r="G714" s="43"/>
      <c r="H714" s="44"/>
      <c r="I714" s="31"/>
      <c r="J714" s="31"/>
      <c r="K714" s="31"/>
      <c r="L714" s="31"/>
      <c r="M714" s="31"/>
      <c r="N714" s="45"/>
      <c r="O714" s="31"/>
      <c r="P714" s="31"/>
      <c r="Q714" s="31"/>
      <c r="R714" s="45"/>
      <c r="S714" s="31"/>
    </row>
    <row r="715" spans="2:19" ht="15.75" x14ac:dyDescent="0.25">
      <c r="B715" s="29"/>
      <c r="C715" s="29"/>
      <c r="D715" s="29"/>
      <c r="E715" s="29"/>
      <c r="F715" s="29"/>
      <c r="G715" s="43"/>
      <c r="H715" s="44"/>
      <c r="I715" s="31"/>
      <c r="J715" s="31"/>
      <c r="K715" s="31"/>
      <c r="L715" s="31"/>
      <c r="M715" s="31"/>
      <c r="N715" s="45"/>
      <c r="O715" s="31"/>
      <c r="P715" s="31"/>
      <c r="Q715" s="31"/>
      <c r="R715" s="45"/>
      <c r="S715" s="31"/>
    </row>
    <row r="716" spans="2:19" ht="15.75" x14ac:dyDescent="0.25">
      <c r="B716" s="60">
        <v>1</v>
      </c>
      <c r="C716" s="60" t="s">
        <v>1020</v>
      </c>
      <c r="D716" s="35" t="s">
        <v>1021</v>
      </c>
      <c r="E716" s="36">
        <v>43830</v>
      </c>
      <c r="F716" s="37">
        <v>75.599999999999994</v>
      </c>
      <c r="G716" s="38">
        <v>10</v>
      </c>
      <c r="H716" s="39">
        <f>+F716/G716</f>
        <v>7.56</v>
      </c>
      <c r="I716" s="37">
        <v>7444.5889999999999</v>
      </c>
      <c r="J716" s="37">
        <v>15878.369000000001</v>
      </c>
      <c r="K716" s="37">
        <v>17424.894</v>
      </c>
      <c r="L716" s="37">
        <v>790.2</v>
      </c>
      <c r="M716" s="37">
        <v>1504.279</v>
      </c>
      <c r="N716" s="39">
        <f>+M716-O716</f>
        <v>415.41699999999992</v>
      </c>
      <c r="O716" s="37">
        <v>1088.8620000000001</v>
      </c>
      <c r="P716" s="40">
        <f>900+600</f>
        <v>1500</v>
      </c>
      <c r="Q716" s="40">
        <v>0</v>
      </c>
      <c r="R716" s="41">
        <f>SUM(P716:Q716)</f>
        <v>1500</v>
      </c>
      <c r="S716" s="42">
        <v>1411</v>
      </c>
    </row>
    <row r="717" spans="2:19" ht="15.75" x14ac:dyDescent="0.25">
      <c r="B717" s="60">
        <f>+B721+1</f>
        <v>2</v>
      </c>
      <c r="C717" s="60" t="s">
        <v>1022</v>
      </c>
      <c r="D717" s="35" t="s">
        <v>1023</v>
      </c>
      <c r="E717" s="36">
        <v>43646</v>
      </c>
      <c r="F717" s="37">
        <v>60</v>
      </c>
      <c r="G717" s="38">
        <v>10</v>
      </c>
      <c r="H717" s="39">
        <f>+F717/G717</f>
        <v>6</v>
      </c>
      <c r="I717" s="37">
        <v>96.941450000000003</v>
      </c>
      <c r="J717" s="37">
        <v>109.82008399999999</v>
      </c>
      <c r="K717" s="37">
        <v>48.015064000000002</v>
      </c>
      <c r="L717" s="37">
        <v>2.8394750000000002</v>
      </c>
      <c r="M717" s="37">
        <v>-8.077413</v>
      </c>
      <c r="N717" s="39">
        <f>+M717-O717</f>
        <v>0.46207500000000046</v>
      </c>
      <c r="O717" s="37">
        <v>-8.5394880000000004</v>
      </c>
      <c r="P717" s="40">
        <v>0</v>
      </c>
      <c r="Q717" s="40">
        <v>0</v>
      </c>
      <c r="R717" s="41">
        <f>SUM(P717:Q717)</f>
        <v>0</v>
      </c>
      <c r="S717" s="42">
        <v>1445</v>
      </c>
    </row>
    <row r="718" spans="2:19" ht="15.75" x14ac:dyDescent="0.25">
      <c r="B718" s="60">
        <f>+B717+1</f>
        <v>3</v>
      </c>
      <c r="C718" s="60" t="s">
        <v>1024</v>
      </c>
      <c r="D718" s="35" t="s">
        <v>1025</v>
      </c>
      <c r="E718" s="36">
        <v>43830</v>
      </c>
      <c r="F718" s="37">
        <v>187.95</v>
      </c>
      <c r="G718" s="38">
        <v>10</v>
      </c>
      <c r="H718" s="39">
        <f>+F718/G718</f>
        <v>18.794999999999998</v>
      </c>
      <c r="I718" s="37">
        <v>5741.2079999999996</v>
      </c>
      <c r="J718" s="37">
        <v>19518.623</v>
      </c>
      <c r="K718" s="37">
        <v>26156.201000000001</v>
      </c>
      <c r="L718" s="37">
        <v>1123.5889999999999</v>
      </c>
      <c r="M718" s="37">
        <v>1073.0250000000001</v>
      </c>
      <c r="N718" s="39">
        <f>+M718-O718</f>
        <v>186.66100000000006</v>
      </c>
      <c r="O718" s="37">
        <v>886.36400000000003</v>
      </c>
      <c r="P718" s="40">
        <f>125+75</f>
        <v>200</v>
      </c>
      <c r="Q718" s="40">
        <f>25+25</f>
        <v>50</v>
      </c>
      <c r="R718" s="41">
        <f>SUM(P718:Q718)</f>
        <v>250</v>
      </c>
      <c r="S718" s="42">
        <v>1693</v>
      </c>
    </row>
    <row r="719" spans="2:19" ht="15.75" x14ac:dyDescent="0.25">
      <c r="B719" s="29"/>
      <c r="C719" s="29"/>
      <c r="D719" s="29"/>
      <c r="E719" s="29"/>
      <c r="F719" s="29"/>
      <c r="G719" s="43"/>
      <c r="H719" s="44"/>
      <c r="I719" s="31"/>
      <c r="J719" s="31"/>
      <c r="K719" s="31"/>
      <c r="L719" s="31"/>
      <c r="M719" s="31"/>
      <c r="N719" s="45"/>
      <c r="O719" s="31"/>
      <c r="P719" s="31"/>
      <c r="Q719" s="31"/>
      <c r="R719" s="45"/>
      <c r="S719" s="31"/>
    </row>
    <row r="720" spans="2:19" ht="18.75" x14ac:dyDescent="0.3">
      <c r="B720" s="29"/>
      <c r="C720" s="29"/>
      <c r="D720" s="56" t="s">
        <v>43</v>
      </c>
      <c r="E720" s="29"/>
      <c r="F720" s="29"/>
      <c r="G720" s="43"/>
      <c r="H720" s="44"/>
      <c r="I720" s="31"/>
      <c r="J720" s="31"/>
      <c r="K720" s="31"/>
      <c r="L720" s="31"/>
      <c r="M720" s="31"/>
      <c r="N720" s="45"/>
      <c r="O720" s="31"/>
      <c r="P720" s="31"/>
      <c r="Q720" s="31"/>
      <c r="R720" s="45"/>
      <c r="S720" s="31"/>
    </row>
    <row r="721" spans="2:19" ht="15.75" x14ac:dyDescent="0.25">
      <c r="B721" s="60">
        <v>1</v>
      </c>
      <c r="C721" s="60" t="s">
        <v>1026</v>
      </c>
      <c r="D721" s="35" t="s">
        <v>1027</v>
      </c>
      <c r="E721" s="36">
        <v>43646</v>
      </c>
      <c r="F721" s="37">
        <v>20</v>
      </c>
      <c r="G721" s="38">
        <v>10</v>
      </c>
      <c r="H721" s="39">
        <f>+F721/G721</f>
        <v>2</v>
      </c>
      <c r="I721" s="37">
        <v>-251.04507100000001</v>
      </c>
      <c r="J721" s="37">
        <v>46.913635999999997</v>
      </c>
      <c r="K721" s="37">
        <v>30.811965000000001</v>
      </c>
      <c r="L721" s="37">
        <v>0.14502699999999999</v>
      </c>
      <c r="M721" s="37">
        <v>-10.139855000000001</v>
      </c>
      <c r="N721" s="39">
        <f>+M721-O721</f>
        <v>0.38537899999999858</v>
      </c>
      <c r="O721" s="37">
        <v>-10.525233999999999</v>
      </c>
      <c r="P721" s="40">
        <v>0</v>
      </c>
      <c r="Q721" s="40">
        <v>0</v>
      </c>
      <c r="R721" s="41">
        <f>SUM(P721:Q721)</f>
        <v>0</v>
      </c>
      <c r="S721" s="42">
        <v>107</v>
      </c>
    </row>
    <row r="722" spans="2:19" ht="15.75" x14ac:dyDescent="0.25">
      <c r="B722" s="60">
        <f>+B721+1</f>
        <v>2</v>
      </c>
      <c r="C722" s="60" t="s">
        <v>1028</v>
      </c>
      <c r="D722" s="35" t="s">
        <v>1029</v>
      </c>
      <c r="E722" s="36">
        <v>43646</v>
      </c>
      <c r="F722" s="37">
        <v>34</v>
      </c>
      <c r="G722" s="38">
        <v>10</v>
      </c>
      <c r="H722" s="39">
        <f>+F722/G722</f>
        <v>3.4</v>
      </c>
      <c r="I722" s="37">
        <v>-294.27698600000002</v>
      </c>
      <c r="J722" s="37">
        <v>165.01728199999999</v>
      </c>
      <c r="K722" s="37">
        <v>76.580537000000007</v>
      </c>
      <c r="L722" s="37">
        <v>0</v>
      </c>
      <c r="M722" s="37">
        <v>5.0613539999999997</v>
      </c>
      <c r="N722" s="39">
        <f>+M722-O722</f>
        <v>0.91562699999999975</v>
      </c>
      <c r="O722" s="37">
        <v>4.1457269999999999</v>
      </c>
      <c r="P722" s="40">
        <v>0</v>
      </c>
      <c r="Q722" s="40">
        <v>0</v>
      </c>
      <c r="R722" s="41">
        <f>SUM(P722:Q722)</f>
        <v>0</v>
      </c>
      <c r="S722" s="42">
        <v>555</v>
      </c>
    </row>
    <row r="723" spans="2:19" ht="15.75" x14ac:dyDescent="0.25">
      <c r="B723" s="29"/>
      <c r="C723" s="29"/>
      <c r="D723" s="29"/>
      <c r="E723" s="29"/>
      <c r="F723" s="29"/>
      <c r="G723" s="43"/>
      <c r="H723" s="44"/>
      <c r="I723" s="31"/>
      <c r="J723" s="31"/>
      <c r="K723" s="31"/>
      <c r="L723" s="31"/>
      <c r="M723" s="31"/>
      <c r="N723" s="45"/>
      <c r="O723" s="31"/>
      <c r="P723" s="31"/>
      <c r="Q723" s="31"/>
      <c r="R723" s="45"/>
      <c r="S723" s="31"/>
    </row>
    <row r="724" spans="2:19" ht="15.75" x14ac:dyDescent="0.25">
      <c r="B724" s="34">
        <f>COUNT(B716:B723)</f>
        <v>5</v>
      </c>
      <c r="C724" s="34"/>
      <c r="D724" s="48"/>
      <c r="E724" s="48"/>
      <c r="F724" s="48">
        <f>SUM(F716:F723)</f>
        <v>377.54999999999995</v>
      </c>
      <c r="G724" s="49"/>
      <c r="H724" s="50">
        <f t="shared" ref="H724:O724" si="156">SUM(H716:H723)</f>
        <v>37.754999999999995</v>
      </c>
      <c r="I724" s="48">
        <f t="shared" si="156"/>
        <v>12737.416393</v>
      </c>
      <c r="J724" s="48">
        <f t="shared" si="156"/>
        <v>35718.743002000003</v>
      </c>
      <c r="K724" s="48">
        <f t="shared" si="156"/>
        <v>43736.502566000003</v>
      </c>
      <c r="L724" s="48">
        <f t="shared" si="156"/>
        <v>1916.773502</v>
      </c>
      <c r="M724" s="48">
        <f t="shared" si="156"/>
        <v>2564.1480860000001</v>
      </c>
      <c r="N724" s="51">
        <f t="shared" si="156"/>
        <v>603.84108099999992</v>
      </c>
      <c r="O724" s="48">
        <f t="shared" si="156"/>
        <v>1960.3070050000003</v>
      </c>
      <c r="P724" s="52"/>
      <c r="Q724" s="52"/>
      <c r="R724" s="53"/>
      <c r="S724" s="54">
        <f>SUM(S716:S723)</f>
        <v>5211</v>
      </c>
    </row>
    <row r="725" spans="2:19" ht="15.75" x14ac:dyDescent="0.25">
      <c r="B725" s="29"/>
      <c r="C725" s="29"/>
      <c r="D725" s="29"/>
      <c r="E725" s="29"/>
      <c r="F725" s="29"/>
      <c r="G725" s="43"/>
      <c r="H725" s="44"/>
      <c r="I725" s="31"/>
      <c r="J725" s="31"/>
      <c r="K725" s="31"/>
      <c r="L725" s="31"/>
      <c r="M725" s="31"/>
      <c r="N725" s="45"/>
      <c r="O725" s="31"/>
      <c r="P725" s="31"/>
      <c r="Q725" s="31"/>
      <c r="R725" s="45"/>
      <c r="S725" s="31"/>
    </row>
    <row r="726" spans="2:19" ht="15.75" x14ac:dyDescent="0.25">
      <c r="B726" s="29"/>
      <c r="C726" s="29"/>
      <c r="D726" s="29"/>
      <c r="E726" s="29"/>
      <c r="F726" s="29"/>
      <c r="G726" s="43"/>
      <c r="H726" s="44"/>
      <c r="I726" s="31"/>
      <c r="J726" s="31"/>
      <c r="K726" s="31"/>
      <c r="L726" s="31"/>
      <c r="M726" s="31"/>
      <c r="N726" s="45"/>
      <c r="O726" s="31"/>
      <c r="P726" s="31"/>
      <c r="Q726" s="31"/>
      <c r="R726" s="45"/>
      <c r="S726" s="31"/>
    </row>
    <row r="727" spans="2:19" ht="18.75" x14ac:dyDescent="0.3">
      <c r="B727" s="29"/>
      <c r="C727" s="33">
        <v>33</v>
      </c>
      <c r="D727" s="33" t="s">
        <v>1030</v>
      </c>
      <c r="E727" s="61"/>
      <c r="F727" s="61"/>
      <c r="G727" s="43"/>
      <c r="H727" s="44"/>
      <c r="I727" s="31"/>
      <c r="J727" s="31"/>
      <c r="K727" s="31"/>
      <c r="L727" s="31"/>
      <c r="M727" s="31"/>
      <c r="N727" s="45"/>
      <c r="O727" s="31"/>
      <c r="P727" s="31"/>
      <c r="Q727" s="31"/>
      <c r="R727" s="45"/>
      <c r="S727" s="31"/>
    </row>
    <row r="728" spans="2:19" ht="15.75" x14ac:dyDescent="0.25">
      <c r="B728" s="29"/>
      <c r="C728" s="29"/>
      <c r="D728" s="29"/>
      <c r="E728" s="29"/>
      <c r="F728" s="29"/>
      <c r="G728" s="43"/>
      <c r="H728" s="44"/>
      <c r="I728" s="31"/>
      <c r="J728" s="31"/>
      <c r="K728" s="31"/>
      <c r="L728" s="31"/>
      <c r="M728" s="31"/>
      <c r="N728" s="45"/>
      <c r="O728" s="31"/>
      <c r="P728" s="31"/>
      <c r="Q728" s="31"/>
      <c r="R728" s="45"/>
      <c r="S728" s="31"/>
    </row>
    <row r="729" spans="2:19" ht="15.75" x14ac:dyDescent="0.25">
      <c r="B729" s="34">
        <v>1</v>
      </c>
      <c r="C729" s="34" t="s">
        <v>1031</v>
      </c>
      <c r="D729" s="35" t="s">
        <v>1032</v>
      </c>
      <c r="E729" s="36">
        <v>43646</v>
      </c>
      <c r="F729" s="37">
        <v>1421.175</v>
      </c>
      <c r="G729" s="38">
        <v>10</v>
      </c>
      <c r="H729" s="39">
        <f t="shared" ref="H729:H748" si="157">+F729/G729</f>
        <v>142.11750000000001</v>
      </c>
      <c r="I729" s="37">
        <v>4597.9859999999999</v>
      </c>
      <c r="J729" s="37">
        <v>7572.7529999999997</v>
      </c>
      <c r="K729" s="37">
        <v>4188.6729999999998</v>
      </c>
      <c r="L729" s="37">
        <v>156.24100000000001</v>
      </c>
      <c r="M729" s="37">
        <v>232.77099999999999</v>
      </c>
      <c r="N729" s="39">
        <f t="shared" ref="N729:N748" si="158">+M729-O729</f>
        <v>41.839999999999975</v>
      </c>
      <c r="O729" s="37">
        <v>190.93100000000001</v>
      </c>
      <c r="P729" s="40">
        <v>0</v>
      </c>
      <c r="Q729" s="40">
        <v>0</v>
      </c>
      <c r="R729" s="41">
        <f t="shared" ref="R729:R748" si="159">SUM(P729:Q729)</f>
        <v>0</v>
      </c>
      <c r="S729" s="42">
        <v>4965</v>
      </c>
    </row>
    <row r="730" spans="2:19" ht="15.75" x14ac:dyDescent="0.25">
      <c r="B730" s="34">
        <f>+B729+1</f>
        <v>2</v>
      </c>
      <c r="C730" s="34" t="s">
        <v>1033</v>
      </c>
      <c r="D730" s="35" t="s">
        <v>1034</v>
      </c>
      <c r="E730" s="36">
        <v>43646</v>
      </c>
      <c r="F730" s="37">
        <v>249.14500000000001</v>
      </c>
      <c r="G730" s="38">
        <v>10</v>
      </c>
      <c r="H730" s="39">
        <f t="shared" si="157"/>
        <v>24.9145</v>
      </c>
      <c r="I730" s="37">
        <v>1027.223</v>
      </c>
      <c r="J730" s="37">
        <v>1140.7260000000001</v>
      </c>
      <c r="K730" s="37">
        <v>1243.9649999999999</v>
      </c>
      <c r="L730" s="37">
        <v>2.2690000000000001</v>
      </c>
      <c r="M730" s="37">
        <v>311.89</v>
      </c>
      <c r="N730" s="39">
        <f t="shared" si="158"/>
        <v>59.536999999999978</v>
      </c>
      <c r="O730" s="37">
        <v>252.35300000000001</v>
      </c>
      <c r="P730" s="40">
        <f>30</f>
        <v>30</v>
      </c>
      <c r="Q730" s="40">
        <v>0</v>
      </c>
      <c r="R730" s="41">
        <f t="shared" si="159"/>
        <v>30</v>
      </c>
      <c r="S730" s="42">
        <v>1605</v>
      </c>
    </row>
    <row r="731" spans="2:19" ht="15.75" x14ac:dyDescent="0.25">
      <c r="B731" s="34">
        <f>+B730+1</f>
        <v>3</v>
      </c>
      <c r="C731" s="34" t="s">
        <v>1035</v>
      </c>
      <c r="D731" s="35" t="s">
        <v>1036</v>
      </c>
      <c r="E731" s="36">
        <v>43830</v>
      </c>
      <c r="F731" s="37">
        <v>4665.9610000000002</v>
      </c>
      <c r="G731" s="38">
        <v>10</v>
      </c>
      <c r="H731" s="39">
        <f t="shared" si="157"/>
        <v>466.59610000000004</v>
      </c>
      <c r="I731" s="37">
        <v>8384.6650000000009</v>
      </c>
      <c r="J731" s="37">
        <v>23566.097000000002</v>
      </c>
      <c r="K731" s="37">
        <v>38857.336000000003</v>
      </c>
      <c r="L731" s="37">
        <v>1221.5740000000001</v>
      </c>
      <c r="M731" s="37">
        <v>-1100.355</v>
      </c>
      <c r="N731" s="39">
        <f t="shared" si="158"/>
        <v>-145.49</v>
      </c>
      <c r="O731" s="37">
        <v>-954.86500000000001</v>
      </c>
      <c r="P731" s="40">
        <v>0</v>
      </c>
      <c r="Q731" s="40">
        <v>0</v>
      </c>
      <c r="R731" s="41">
        <f t="shared" si="159"/>
        <v>0</v>
      </c>
      <c r="S731" s="42">
        <v>8946</v>
      </c>
    </row>
    <row r="732" spans="2:19" ht="15.75" x14ac:dyDescent="0.25">
      <c r="B732" s="34">
        <f t="shared" ref="B732:B748" si="160">+B731+1</f>
        <v>4</v>
      </c>
      <c r="C732" s="34" t="s">
        <v>1037</v>
      </c>
      <c r="D732" s="35" t="s">
        <v>1038</v>
      </c>
      <c r="E732" s="36">
        <v>43830</v>
      </c>
      <c r="F732" s="37">
        <v>5284.0719200000003</v>
      </c>
      <c r="G732" s="38">
        <v>10</v>
      </c>
      <c r="H732" s="39">
        <f t="shared" si="157"/>
        <v>528.40719200000001</v>
      </c>
      <c r="I732" s="37">
        <v>-3677.7860839999998</v>
      </c>
      <c r="J732" s="37">
        <v>12152.806323999999</v>
      </c>
      <c r="K732" s="37">
        <v>5744.8723280000004</v>
      </c>
      <c r="L732" s="37">
        <v>1698.166696</v>
      </c>
      <c r="M732" s="37">
        <v>-4253.0287060000001</v>
      </c>
      <c r="N732" s="39">
        <f t="shared" si="158"/>
        <v>1535.9087680000002</v>
      </c>
      <c r="O732" s="37">
        <v>-5788.9374740000003</v>
      </c>
      <c r="P732" s="40">
        <v>0</v>
      </c>
      <c r="Q732" s="40">
        <v>0</v>
      </c>
      <c r="R732" s="41">
        <f t="shared" si="159"/>
        <v>0</v>
      </c>
      <c r="S732" s="42">
        <v>10084</v>
      </c>
    </row>
    <row r="733" spans="2:19" ht="15.75" x14ac:dyDescent="0.25">
      <c r="B733" s="34">
        <f t="shared" si="160"/>
        <v>5</v>
      </c>
      <c r="C733" s="34" t="s">
        <v>1039</v>
      </c>
      <c r="D733" s="35" t="s">
        <v>1040</v>
      </c>
      <c r="E733" s="36">
        <v>43646</v>
      </c>
      <c r="F733" s="37">
        <v>3</v>
      </c>
      <c r="G733" s="38">
        <v>10</v>
      </c>
      <c r="H733" s="39">
        <f t="shared" si="157"/>
        <v>0.3</v>
      </c>
      <c r="I733" s="37">
        <v>373.10349200000002</v>
      </c>
      <c r="J733" s="37">
        <v>406.36050799999998</v>
      </c>
      <c r="K733" s="37">
        <v>896.77968299999998</v>
      </c>
      <c r="L733" s="37">
        <v>1.9059E-2</v>
      </c>
      <c r="M733" s="37">
        <v>3.3511839999999999</v>
      </c>
      <c r="N733" s="39">
        <f t="shared" si="158"/>
        <v>-0.76447999999999983</v>
      </c>
      <c r="O733" s="37">
        <v>4.1156639999999998</v>
      </c>
      <c r="P733" s="40">
        <v>33.5</v>
      </c>
      <c r="Q733" s="40">
        <v>0</v>
      </c>
      <c r="R733" s="41">
        <f t="shared" si="159"/>
        <v>33.5</v>
      </c>
      <c r="S733" s="42">
        <v>79</v>
      </c>
    </row>
    <row r="734" spans="2:19" ht="15.75" x14ac:dyDescent="0.25">
      <c r="B734" s="34">
        <f t="shared" si="160"/>
        <v>6</v>
      </c>
      <c r="C734" s="60" t="s">
        <v>1041</v>
      </c>
      <c r="D734" s="35" t="s">
        <v>1042</v>
      </c>
      <c r="E734" s="36">
        <v>43646</v>
      </c>
      <c r="F734" s="37">
        <v>192</v>
      </c>
      <c r="G734" s="38">
        <v>10</v>
      </c>
      <c r="H734" s="39">
        <f t="shared" si="157"/>
        <v>19.2</v>
      </c>
      <c r="I734" s="37">
        <v>641.91399999999999</v>
      </c>
      <c r="J734" s="37">
        <v>1189.9949999999999</v>
      </c>
      <c r="K734" s="37">
        <v>1962.721</v>
      </c>
      <c r="L734" s="37">
        <v>0.217</v>
      </c>
      <c r="M734" s="37">
        <v>258.471</v>
      </c>
      <c r="N734" s="39">
        <f t="shared" si="158"/>
        <v>94.078000000000003</v>
      </c>
      <c r="O734" s="37">
        <v>164.393</v>
      </c>
      <c r="P734" s="40">
        <v>0</v>
      </c>
      <c r="Q734" s="40">
        <v>0</v>
      </c>
      <c r="R734" s="41">
        <f t="shared" si="159"/>
        <v>0</v>
      </c>
      <c r="S734" s="42">
        <v>730</v>
      </c>
    </row>
    <row r="735" spans="2:19" ht="15.75" x14ac:dyDescent="0.25">
      <c r="B735" s="34">
        <f t="shared" si="160"/>
        <v>7</v>
      </c>
      <c r="C735" s="34" t="s">
        <v>1043</v>
      </c>
      <c r="D735" s="35" t="s">
        <v>1044</v>
      </c>
      <c r="E735" s="36">
        <v>43646</v>
      </c>
      <c r="F735" s="37">
        <v>638.04750000000001</v>
      </c>
      <c r="G735" s="38">
        <v>10</v>
      </c>
      <c r="H735" s="39">
        <f t="shared" si="157"/>
        <v>63.804749999999999</v>
      </c>
      <c r="I735" s="37">
        <v>7374.2466599999998</v>
      </c>
      <c r="J735" s="37">
        <v>26964.495534000001</v>
      </c>
      <c r="K735" s="37">
        <v>30090.888451999999</v>
      </c>
      <c r="L735" s="37">
        <v>905.62982</v>
      </c>
      <c r="M735" s="37">
        <v>1403.5402549999999</v>
      </c>
      <c r="N735" s="39">
        <f t="shared" si="158"/>
        <v>436.94241299999987</v>
      </c>
      <c r="O735" s="37">
        <v>966.59784200000001</v>
      </c>
      <c r="P735" s="40">
        <v>30</v>
      </c>
      <c r="Q735" s="40">
        <v>0</v>
      </c>
      <c r="R735" s="41">
        <f t="shared" si="159"/>
        <v>30</v>
      </c>
      <c r="S735" s="42">
        <v>1532</v>
      </c>
    </row>
    <row r="736" spans="2:19" ht="15.75" x14ac:dyDescent="0.25">
      <c r="B736" s="34">
        <f t="shared" si="160"/>
        <v>8</v>
      </c>
      <c r="C736" s="34" t="s">
        <v>1045</v>
      </c>
      <c r="D736" s="35" t="s">
        <v>1046</v>
      </c>
      <c r="E736" s="36">
        <v>43738</v>
      </c>
      <c r="F736" s="37">
        <v>78.75</v>
      </c>
      <c r="G736" s="38">
        <v>10</v>
      </c>
      <c r="H736" s="39">
        <f t="shared" si="157"/>
        <v>7.875</v>
      </c>
      <c r="I736" s="37">
        <v>126.444569</v>
      </c>
      <c r="J736" s="37">
        <v>1343.493757</v>
      </c>
      <c r="K736" s="37">
        <v>1987.552095</v>
      </c>
      <c r="L736" s="37">
        <v>78.300348999999997</v>
      </c>
      <c r="M736" s="37">
        <v>-51.522883999999998</v>
      </c>
      <c r="N736" s="39">
        <f t="shared" si="158"/>
        <v>28.482628999999996</v>
      </c>
      <c r="O736" s="37">
        <v>-80.005512999999993</v>
      </c>
      <c r="P736" s="40">
        <v>0</v>
      </c>
      <c r="Q736" s="40">
        <v>0</v>
      </c>
      <c r="R736" s="41">
        <f t="shared" si="159"/>
        <v>0</v>
      </c>
      <c r="S736" s="42">
        <v>935</v>
      </c>
    </row>
    <row r="737" spans="2:19" ht="15.75" x14ac:dyDescent="0.25">
      <c r="B737" s="34">
        <f t="shared" si="160"/>
        <v>9</v>
      </c>
      <c r="C737" s="34" t="s">
        <v>1047</v>
      </c>
      <c r="D737" s="35" t="s">
        <v>1048</v>
      </c>
      <c r="E737" s="36">
        <v>43738</v>
      </c>
      <c r="F737" s="37">
        <v>1224.0069800000001</v>
      </c>
      <c r="G737" s="38">
        <v>10</v>
      </c>
      <c r="H737" s="39">
        <f t="shared" si="157"/>
        <v>122.40069800000001</v>
      </c>
      <c r="I737" s="37">
        <v>4506.9742990000004</v>
      </c>
      <c r="J737" s="37">
        <v>9574.9641730000003</v>
      </c>
      <c r="K737" s="37">
        <v>7863.052901</v>
      </c>
      <c r="L737" s="37">
        <v>275.50317699999999</v>
      </c>
      <c r="M737" s="37">
        <v>460.49489499999999</v>
      </c>
      <c r="N737" s="39">
        <f t="shared" si="158"/>
        <v>46.658607999999958</v>
      </c>
      <c r="O737" s="37">
        <v>413.83628700000003</v>
      </c>
      <c r="P737" s="40">
        <v>7</v>
      </c>
      <c r="Q737" s="40">
        <v>0</v>
      </c>
      <c r="R737" s="41">
        <f t="shared" si="159"/>
        <v>7</v>
      </c>
      <c r="S737" s="42">
        <v>3030</v>
      </c>
    </row>
    <row r="738" spans="2:19" ht="15.75" x14ac:dyDescent="0.25">
      <c r="B738" s="34">
        <f t="shared" si="160"/>
        <v>10</v>
      </c>
      <c r="C738" s="60" t="s">
        <v>1049</v>
      </c>
      <c r="D738" s="35" t="s">
        <v>1050</v>
      </c>
      <c r="E738" s="36">
        <v>43646</v>
      </c>
      <c r="F738" s="37">
        <v>276.63600000000002</v>
      </c>
      <c r="G738" s="38">
        <v>10</v>
      </c>
      <c r="H738" s="39">
        <f t="shared" si="157"/>
        <v>27.663600000000002</v>
      </c>
      <c r="I738" s="37">
        <v>10025.959000000001</v>
      </c>
      <c r="J738" s="37">
        <v>11752.069</v>
      </c>
      <c r="K738" s="37">
        <v>9983.2919999999995</v>
      </c>
      <c r="L738" s="37">
        <v>17.053000000000001</v>
      </c>
      <c r="M738" s="37">
        <v>1662.826</v>
      </c>
      <c r="N738" s="39">
        <f t="shared" si="158"/>
        <v>439.88799999999992</v>
      </c>
      <c r="O738" s="37">
        <v>1222.9380000000001</v>
      </c>
      <c r="P738" s="40">
        <f>50+100+50+100</f>
        <v>300</v>
      </c>
      <c r="Q738" s="40">
        <v>0</v>
      </c>
      <c r="R738" s="41">
        <f t="shared" si="159"/>
        <v>300</v>
      </c>
      <c r="S738" s="42">
        <v>1245</v>
      </c>
    </row>
    <row r="739" spans="2:19" ht="15.75" x14ac:dyDescent="0.25">
      <c r="B739" s="34">
        <f t="shared" si="160"/>
        <v>11</v>
      </c>
      <c r="C739" s="34" t="s">
        <v>1051</v>
      </c>
      <c r="D739" s="35" t="s">
        <v>1052</v>
      </c>
      <c r="E739" s="36">
        <v>43646</v>
      </c>
      <c r="F739" s="37">
        <v>621.64099999999996</v>
      </c>
      <c r="G739" s="38">
        <v>5</v>
      </c>
      <c r="H739" s="39">
        <f t="shared" si="157"/>
        <v>124.3282</v>
      </c>
      <c r="I739" s="37">
        <v>4317.3289999999997</v>
      </c>
      <c r="J739" s="37">
        <v>10358.616</v>
      </c>
      <c r="K739" s="37">
        <v>16602.205999999998</v>
      </c>
      <c r="L739" s="37">
        <v>157.07</v>
      </c>
      <c r="M739" s="37">
        <v>1362.6079999999999</v>
      </c>
      <c r="N739" s="39">
        <f t="shared" si="158"/>
        <v>271.74599999999987</v>
      </c>
      <c r="O739" s="37">
        <v>1090.8620000000001</v>
      </c>
      <c r="P739" s="40">
        <v>80</v>
      </c>
      <c r="Q739" s="40">
        <v>20</v>
      </c>
      <c r="R739" s="41">
        <f t="shared" si="159"/>
        <v>100</v>
      </c>
      <c r="S739" s="42">
        <v>1766</v>
      </c>
    </row>
    <row r="740" spans="2:19" ht="15.75" x14ac:dyDescent="0.25">
      <c r="B740" s="34">
        <f t="shared" si="160"/>
        <v>12</v>
      </c>
      <c r="C740" s="34" t="s">
        <v>1053</v>
      </c>
      <c r="D740" s="35" t="s">
        <v>1054</v>
      </c>
      <c r="E740" s="36">
        <v>43830</v>
      </c>
      <c r="F740" s="83">
        <v>453.49599999999998</v>
      </c>
      <c r="G740" s="38">
        <v>10</v>
      </c>
      <c r="H740" s="39">
        <f t="shared" si="157"/>
        <v>45.349599999999995</v>
      </c>
      <c r="I740" s="37">
        <v>3255.9659999999999</v>
      </c>
      <c r="J740" s="37">
        <v>65273.408000000003</v>
      </c>
      <c r="K740" s="37">
        <v>115962.473</v>
      </c>
      <c r="L740" s="37">
        <v>3187.6950000000002</v>
      </c>
      <c r="M740" s="37">
        <v>10715.71</v>
      </c>
      <c r="N740" s="39">
        <f t="shared" si="158"/>
        <v>3361.2429999999995</v>
      </c>
      <c r="O740" s="37">
        <v>7354.4669999999996</v>
      </c>
      <c r="P740" s="40">
        <f>900+200+420</f>
        <v>1520</v>
      </c>
      <c r="Q740" s="40">
        <v>0</v>
      </c>
      <c r="R740" s="41">
        <f t="shared" si="159"/>
        <v>1520</v>
      </c>
      <c r="S740" s="42">
        <v>871</v>
      </c>
    </row>
    <row r="741" spans="2:19" ht="15.75" x14ac:dyDescent="0.25">
      <c r="B741" s="34">
        <f t="shared" si="160"/>
        <v>13</v>
      </c>
      <c r="C741" s="34" t="s">
        <v>1055</v>
      </c>
      <c r="D741" s="35" t="s">
        <v>1056</v>
      </c>
      <c r="E741" s="36">
        <v>43646</v>
      </c>
      <c r="F741" s="37">
        <v>1466.67</v>
      </c>
      <c r="G741" s="38">
        <v>10</v>
      </c>
      <c r="H741" s="39">
        <f t="shared" si="157"/>
        <v>146.667</v>
      </c>
      <c r="I741" s="37">
        <v>2404.0193909999998</v>
      </c>
      <c r="J741" s="37">
        <v>2933.5303859999999</v>
      </c>
      <c r="K741" s="37">
        <v>1513.288448</v>
      </c>
      <c r="L741" s="37">
        <v>22.464737</v>
      </c>
      <c r="M741" s="37">
        <v>249.212255</v>
      </c>
      <c r="N741" s="39">
        <f t="shared" si="158"/>
        <v>-20.887817000000013</v>
      </c>
      <c r="O741" s="37">
        <v>270.10007200000001</v>
      </c>
      <c r="P741" s="40">
        <v>3.7</v>
      </c>
      <c r="Q741" s="40">
        <v>10</v>
      </c>
      <c r="R741" s="41">
        <f t="shared" si="159"/>
        <v>13.7</v>
      </c>
      <c r="S741" s="42">
        <v>1646</v>
      </c>
    </row>
    <row r="742" spans="2:19" ht="15.75" x14ac:dyDescent="0.25">
      <c r="B742" s="34">
        <f t="shared" si="160"/>
        <v>14</v>
      </c>
      <c r="C742" s="34" t="s">
        <v>1057</v>
      </c>
      <c r="D742" s="35" t="s">
        <v>1058</v>
      </c>
      <c r="E742" s="36">
        <v>43646</v>
      </c>
      <c r="F742" s="37">
        <v>984.61828000000003</v>
      </c>
      <c r="G742" s="38">
        <v>10</v>
      </c>
      <c r="H742" s="39">
        <f t="shared" si="157"/>
        <v>98.461827999999997</v>
      </c>
      <c r="I742" s="37">
        <v>547.39772500000004</v>
      </c>
      <c r="J742" s="37">
        <v>742.79222500000003</v>
      </c>
      <c r="K742" s="37">
        <v>116.775397</v>
      </c>
      <c r="L742" s="37">
        <v>0.182669</v>
      </c>
      <c r="M742" s="37">
        <v>-42.994216999999999</v>
      </c>
      <c r="N742" s="39">
        <f t="shared" si="158"/>
        <v>8.0618400000000037</v>
      </c>
      <c r="O742" s="37">
        <v>-51.056057000000003</v>
      </c>
      <c r="P742" s="40">
        <v>0</v>
      </c>
      <c r="Q742" s="40">
        <v>0</v>
      </c>
      <c r="R742" s="41">
        <f t="shared" si="159"/>
        <v>0</v>
      </c>
      <c r="S742" s="42">
        <v>5529</v>
      </c>
    </row>
    <row r="743" spans="2:19" ht="15.75" x14ac:dyDescent="0.25">
      <c r="B743" s="34">
        <f t="shared" si="160"/>
        <v>15</v>
      </c>
      <c r="C743" s="34" t="s">
        <v>1059</v>
      </c>
      <c r="D743" s="35" t="s">
        <v>1060</v>
      </c>
      <c r="E743" s="36">
        <v>43830</v>
      </c>
      <c r="F743" s="37">
        <v>92.364000000000004</v>
      </c>
      <c r="G743" s="38">
        <v>10</v>
      </c>
      <c r="H743" s="39">
        <f t="shared" si="157"/>
        <v>9.2363999999999997</v>
      </c>
      <c r="I743" s="37">
        <v>14801.937</v>
      </c>
      <c r="J743" s="37">
        <v>18860.157999999999</v>
      </c>
      <c r="K743" s="37">
        <v>35260.665000000001</v>
      </c>
      <c r="L743" s="37">
        <v>23.257000000000001</v>
      </c>
      <c r="M743" s="37">
        <v>7996.9309999999996</v>
      </c>
      <c r="N743" s="39">
        <f t="shared" si="158"/>
        <v>2355.6059999999998</v>
      </c>
      <c r="O743" s="37">
        <v>5641.3249999999998</v>
      </c>
      <c r="P743" s="40">
        <f>1000+1000+1000+2000</f>
        <v>5000</v>
      </c>
      <c r="Q743" s="40">
        <v>0</v>
      </c>
      <c r="R743" s="41">
        <f t="shared" si="159"/>
        <v>5000</v>
      </c>
      <c r="S743" s="42">
        <v>939</v>
      </c>
    </row>
    <row r="744" spans="2:19" ht="15.75" x14ac:dyDescent="0.25">
      <c r="B744" s="34">
        <f t="shared" si="160"/>
        <v>16</v>
      </c>
      <c r="C744" s="60" t="s">
        <v>1061</v>
      </c>
      <c r="D744" s="35" t="s">
        <v>1062</v>
      </c>
      <c r="E744" s="36">
        <v>43646</v>
      </c>
      <c r="F744" s="37">
        <v>39</v>
      </c>
      <c r="G744" s="38">
        <v>10</v>
      </c>
      <c r="H744" s="39">
        <f t="shared" si="157"/>
        <v>3.9</v>
      </c>
      <c r="I744" s="37">
        <v>428.921403</v>
      </c>
      <c r="J744" s="37">
        <v>1140.6496059999999</v>
      </c>
      <c r="K744" s="37">
        <v>1778.7948719999999</v>
      </c>
      <c r="L744" s="37">
        <v>41.594681999999999</v>
      </c>
      <c r="M744" s="37">
        <v>85.618758</v>
      </c>
      <c r="N744" s="39">
        <f t="shared" si="158"/>
        <v>61.289034000000001</v>
      </c>
      <c r="O744" s="37">
        <v>24.329723999999999</v>
      </c>
      <c r="P744" s="40">
        <v>12.5</v>
      </c>
      <c r="Q744" s="40">
        <v>0</v>
      </c>
      <c r="R744" s="41">
        <f t="shared" si="159"/>
        <v>12.5</v>
      </c>
      <c r="S744" s="42">
        <v>381</v>
      </c>
    </row>
    <row r="745" spans="2:19" ht="15.75" x14ac:dyDescent="0.25">
      <c r="B745" s="34">
        <f t="shared" si="160"/>
        <v>17</v>
      </c>
      <c r="C745" s="60" t="s">
        <v>1063</v>
      </c>
      <c r="D745" s="35" t="s">
        <v>1064</v>
      </c>
      <c r="E745" s="36">
        <v>43646</v>
      </c>
      <c r="F745" s="37">
        <v>87.846000000000004</v>
      </c>
      <c r="G745" s="38">
        <v>10</v>
      </c>
      <c r="H745" s="39">
        <f t="shared" si="157"/>
        <v>8.7846000000000011</v>
      </c>
      <c r="I745" s="37">
        <v>2233.58</v>
      </c>
      <c r="J745" s="37">
        <v>4805.143</v>
      </c>
      <c r="K745" s="37">
        <v>7704.0969999999998</v>
      </c>
      <c r="L745" s="37">
        <v>68.194999999999993</v>
      </c>
      <c r="M745" s="37">
        <v>151.934</v>
      </c>
      <c r="N745" s="39">
        <f t="shared" si="158"/>
        <v>38.86</v>
      </c>
      <c r="O745" s="37">
        <v>113.074</v>
      </c>
      <c r="P745" s="40">
        <v>55</v>
      </c>
      <c r="Q745" s="40">
        <v>0</v>
      </c>
      <c r="R745" s="41">
        <f t="shared" si="159"/>
        <v>55</v>
      </c>
      <c r="S745" s="42">
        <v>575</v>
      </c>
    </row>
    <row r="746" spans="2:19" ht="15.75" x14ac:dyDescent="0.25">
      <c r="B746" s="34">
        <f t="shared" si="160"/>
        <v>18</v>
      </c>
      <c r="C746" s="60" t="s">
        <v>1065</v>
      </c>
      <c r="D746" s="35" t="s">
        <v>1066</v>
      </c>
      <c r="E746" s="36">
        <v>43646</v>
      </c>
      <c r="F746" s="37">
        <v>1654.508</v>
      </c>
      <c r="G746" s="38">
        <v>10</v>
      </c>
      <c r="H746" s="39">
        <f t="shared" si="157"/>
        <v>165.45080000000002</v>
      </c>
      <c r="I746" s="37">
        <v>11354.037</v>
      </c>
      <c r="J746" s="37">
        <v>21908.621999999999</v>
      </c>
      <c r="K746" s="37">
        <v>6760.1180000000004</v>
      </c>
      <c r="L746" s="37">
        <v>973.19799999999998</v>
      </c>
      <c r="M746" s="37">
        <v>423.142</v>
      </c>
      <c r="N746" s="39">
        <f t="shared" si="158"/>
        <v>140.51499999999999</v>
      </c>
      <c r="O746" s="37">
        <v>282.62700000000001</v>
      </c>
      <c r="P746" s="40">
        <v>0</v>
      </c>
      <c r="Q746" s="40">
        <v>0</v>
      </c>
      <c r="R746" s="41">
        <f t="shared" si="159"/>
        <v>0</v>
      </c>
      <c r="S746" s="42">
        <v>8049</v>
      </c>
    </row>
    <row r="747" spans="2:19" ht="15.75" x14ac:dyDescent="0.25">
      <c r="B747" s="34">
        <f t="shared" si="160"/>
        <v>19</v>
      </c>
      <c r="C747" s="34" t="s">
        <v>1067</v>
      </c>
      <c r="D747" s="35" t="s">
        <v>1068</v>
      </c>
      <c r="E747" s="36">
        <v>43830</v>
      </c>
      <c r="F747" s="37">
        <v>63.698999999999998</v>
      </c>
      <c r="G747" s="38">
        <v>10</v>
      </c>
      <c r="H747" s="39">
        <f t="shared" si="157"/>
        <v>6.3698999999999995</v>
      </c>
      <c r="I747" s="37">
        <v>2304.1970000000001</v>
      </c>
      <c r="J747" s="37">
        <v>7088.8329999999996</v>
      </c>
      <c r="K747" s="37">
        <v>13291.424000000001</v>
      </c>
      <c r="L747" s="37">
        <v>135.07599999999999</v>
      </c>
      <c r="M747" s="37">
        <v>2807.8</v>
      </c>
      <c r="N747" s="39">
        <f t="shared" si="158"/>
        <v>354.86200000000008</v>
      </c>
      <c r="O747" s="37">
        <v>2452.9380000000001</v>
      </c>
      <c r="P747" s="40">
        <f>880+630+930+1420</f>
        <v>3860</v>
      </c>
      <c r="Q747" s="40">
        <v>0</v>
      </c>
      <c r="R747" s="41">
        <f t="shared" si="159"/>
        <v>3860</v>
      </c>
      <c r="S747" s="42">
        <v>845</v>
      </c>
    </row>
    <row r="748" spans="2:19" ht="15.75" x14ac:dyDescent="0.25">
      <c r="B748" s="34">
        <f t="shared" si="160"/>
        <v>20</v>
      </c>
      <c r="C748" s="60" t="s">
        <v>1069</v>
      </c>
      <c r="D748" s="35" t="s">
        <v>1070</v>
      </c>
      <c r="E748" s="36">
        <v>43830</v>
      </c>
      <c r="F748" s="37">
        <v>61.225999999999999</v>
      </c>
      <c r="G748" s="38">
        <v>10</v>
      </c>
      <c r="H748" s="39">
        <f t="shared" si="157"/>
        <v>6.1226000000000003</v>
      </c>
      <c r="I748" s="37">
        <v>611.09400000000005</v>
      </c>
      <c r="J748" s="37">
        <v>1216.3689999999999</v>
      </c>
      <c r="K748" s="37">
        <v>2419.3290000000002</v>
      </c>
      <c r="L748" s="37">
        <v>25.917999999999999</v>
      </c>
      <c r="M748" s="37">
        <v>125.611</v>
      </c>
      <c r="N748" s="39">
        <f t="shared" si="158"/>
        <v>59.869</v>
      </c>
      <c r="O748" s="37">
        <v>65.742000000000004</v>
      </c>
      <c r="P748" s="40">
        <v>35</v>
      </c>
      <c r="Q748" s="40">
        <v>0</v>
      </c>
      <c r="R748" s="41">
        <f t="shared" si="159"/>
        <v>35</v>
      </c>
      <c r="S748" s="42">
        <v>1268</v>
      </c>
    </row>
    <row r="749" spans="2:19" ht="15.75" x14ac:dyDescent="0.25">
      <c r="B749" s="62"/>
      <c r="C749" s="76"/>
      <c r="D749" s="77"/>
      <c r="E749" s="64"/>
      <c r="F749" s="78"/>
      <c r="G749" s="43"/>
      <c r="H749" s="79"/>
      <c r="I749" s="78"/>
      <c r="J749" s="78"/>
      <c r="K749" s="78"/>
      <c r="L749" s="78"/>
      <c r="M749" s="78"/>
      <c r="N749" s="79"/>
      <c r="O749" s="78"/>
      <c r="P749" s="80"/>
      <c r="Q749" s="80"/>
      <c r="R749" s="81"/>
      <c r="S749" s="82"/>
    </row>
    <row r="750" spans="2:19" ht="18.75" x14ac:dyDescent="0.3">
      <c r="B750" s="29"/>
      <c r="C750" s="29"/>
      <c r="D750" s="56" t="s">
        <v>43</v>
      </c>
      <c r="E750" s="29"/>
      <c r="F750" s="29"/>
      <c r="G750" s="43"/>
      <c r="H750" s="44"/>
      <c r="I750" s="31"/>
      <c r="J750" s="31"/>
      <c r="K750" s="31"/>
      <c r="L750" s="31"/>
      <c r="M750" s="31"/>
      <c r="N750" s="45"/>
      <c r="O750" s="31"/>
      <c r="P750" s="31"/>
      <c r="Q750" s="31"/>
      <c r="R750" s="45"/>
      <c r="S750" s="31"/>
    </row>
    <row r="751" spans="2:19" ht="15.75" x14ac:dyDescent="0.25">
      <c r="B751" s="34">
        <v>1</v>
      </c>
      <c r="C751" s="60" t="s">
        <v>1071</v>
      </c>
      <c r="D751" s="35" t="s">
        <v>1072</v>
      </c>
      <c r="E751" s="36">
        <v>43646</v>
      </c>
      <c r="F751" s="37"/>
      <c r="G751" s="38">
        <v>10</v>
      </c>
      <c r="H751" s="39">
        <f>+F751/G751</f>
        <v>0</v>
      </c>
      <c r="I751" s="37"/>
      <c r="J751" s="37"/>
      <c r="K751" s="37"/>
      <c r="L751" s="37"/>
      <c r="M751" s="37"/>
      <c r="N751" s="39">
        <f>+M751-O751</f>
        <v>0</v>
      </c>
      <c r="O751" s="37"/>
      <c r="P751" s="40"/>
      <c r="Q751" s="40"/>
      <c r="R751" s="41">
        <f>SUM(P751:Q751)</f>
        <v>0</v>
      </c>
      <c r="S751" s="42"/>
    </row>
    <row r="752" spans="2:19" ht="15.75" x14ac:dyDescent="0.25">
      <c r="B752" s="29"/>
      <c r="C752" s="29"/>
      <c r="D752" s="29"/>
      <c r="E752" s="29"/>
      <c r="F752" s="29"/>
      <c r="G752" s="43"/>
      <c r="H752" s="44"/>
      <c r="I752" s="31"/>
      <c r="J752" s="31"/>
      <c r="K752" s="31"/>
      <c r="L752" s="31"/>
      <c r="M752" s="31"/>
      <c r="N752" s="45"/>
      <c r="O752" s="31"/>
      <c r="P752" s="31"/>
      <c r="Q752" s="31"/>
      <c r="R752" s="45"/>
      <c r="S752" s="31"/>
    </row>
    <row r="753" spans="2:19" ht="15.75" x14ac:dyDescent="0.25">
      <c r="B753" s="34">
        <f>COUNT(B729:B752)</f>
        <v>21</v>
      </c>
      <c r="C753" s="34"/>
      <c r="D753" s="48"/>
      <c r="E753" s="48"/>
      <c r="F753" s="48">
        <f>SUM(F729:F752)</f>
        <v>19557.861680000005</v>
      </c>
      <c r="G753" s="49"/>
      <c r="H753" s="50">
        <f t="shared" ref="H753:O753" si="161">SUM(H729:H752)</f>
        <v>2017.9502679999998</v>
      </c>
      <c r="I753" s="48">
        <f t="shared" si="161"/>
        <v>75639.208455</v>
      </c>
      <c r="J753" s="48">
        <f t="shared" si="161"/>
        <v>229991.88151300003</v>
      </c>
      <c r="K753" s="48">
        <f t="shared" si="161"/>
        <v>304228.30317600002</v>
      </c>
      <c r="L753" s="48">
        <f t="shared" si="161"/>
        <v>8989.6241889999983</v>
      </c>
      <c r="M753" s="48">
        <f t="shared" si="161"/>
        <v>22804.010539999999</v>
      </c>
      <c r="N753" s="51">
        <f t="shared" si="161"/>
        <v>9168.2449949999991</v>
      </c>
      <c r="O753" s="48">
        <f t="shared" si="161"/>
        <v>13635.765545</v>
      </c>
      <c r="P753" s="52"/>
      <c r="Q753" s="52"/>
      <c r="R753" s="53"/>
      <c r="S753" s="54">
        <f>SUM(S729:S752)</f>
        <v>55020</v>
      </c>
    </row>
    <row r="754" spans="2:19" ht="15.75" x14ac:dyDescent="0.25">
      <c r="B754" s="29"/>
      <c r="C754" s="29"/>
      <c r="D754" s="29"/>
      <c r="E754" s="29"/>
      <c r="F754" s="29"/>
      <c r="G754" s="43"/>
      <c r="H754" s="44"/>
      <c r="I754" s="31"/>
      <c r="J754" s="31"/>
      <c r="K754" s="31"/>
      <c r="L754" s="31"/>
      <c r="M754" s="31"/>
      <c r="N754" s="45"/>
      <c r="O754" s="31"/>
      <c r="P754" s="31"/>
      <c r="Q754" s="31"/>
      <c r="R754" s="45"/>
      <c r="S754" s="31"/>
    </row>
    <row r="755" spans="2:19" ht="15.75" x14ac:dyDescent="0.25">
      <c r="B755" s="29"/>
      <c r="C755" s="29"/>
      <c r="D755" s="29"/>
      <c r="E755" s="29"/>
      <c r="F755" s="29"/>
      <c r="G755" s="43"/>
      <c r="H755" s="44"/>
      <c r="I755" s="31"/>
      <c r="J755" s="31"/>
      <c r="K755" s="31"/>
      <c r="L755" s="31"/>
      <c r="M755" s="31"/>
      <c r="N755" s="45"/>
      <c r="O755" s="31"/>
      <c r="P755" s="31"/>
      <c r="Q755" s="31"/>
      <c r="R755" s="45"/>
      <c r="S755" s="31"/>
    </row>
    <row r="756" spans="2:19" ht="18.75" x14ac:dyDescent="0.3">
      <c r="B756" s="29"/>
      <c r="C756" s="33">
        <v>34</v>
      </c>
      <c r="D756" s="33" t="s">
        <v>1073</v>
      </c>
      <c r="E756" s="61"/>
      <c r="F756" s="61"/>
      <c r="G756" s="43"/>
      <c r="H756" s="44"/>
      <c r="I756" s="31"/>
      <c r="J756" s="31"/>
      <c r="K756" s="31"/>
      <c r="L756" s="31"/>
      <c r="M756" s="31"/>
      <c r="N756" s="45"/>
      <c r="O756" s="31"/>
      <c r="P756" s="31"/>
      <c r="Q756" s="31"/>
      <c r="R756" s="45"/>
      <c r="S756" s="31"/>
    </row>
    <row r="757" spans="2:19" ht="15.75" x14ac:dyDescent="0.25">
      <c r="B757" s="29"/>
      <c r="C757" s="29"/>
      <c r="D757" s="29"/>
      <c r="E757" s="29"/>
      <c r="F757" s="29"/>
      <c r="G757" s="43"/>
      <c r="H757" s="44"/>
      <c r="I757" s="31"/>
      <c r="J757" s="31"/>
      <c r="K757" s="31"/>
      <c r="L757" s="31"/>
      <c r="M757" s="31"/>
      <c r="N757" s="45"/>
      <c r="O757" s="31"/>
      <c r="P757" s="31"/>
      <c r="Q757" s="31"/>
      <c r="R757" s="45"/>
      <c r="S757" s="31"/>
    </row>
    <row r="758" spans="2:19" ht="15.75" x14ac:dyDescent="0.25">
      <c r="B758" s="34">
        <v>1</v>
      </c>
      <c r="C758" s="34" t="s">
        <v>1074</v>
      </c>
      <c r="D758" s="35" t="s">
        <v>1075</v>
      </c>
      <c r="E758" s="36">
        <v>43646</v>
      </c>
      <c r="F758" s="37">
        <v>2616</v>
      </c>
      <c r="G758" s="38">
        <v>10</v>
      </c>
      <c r="H758" s="39">
        <f t="shared" ref="H758:H765" si="162">+F758/G758</f>
        <v>261.60000000000002</v>
      </c>
      <c r="I758" s="37">
        <v>-2594.8389999999999</v>
      </c>
      <c r="J758" s="37">
        <v>3144.8</v>
      </c>
      <c r="K758" s="37">
        <v>1121.7809999999999</v>
      </c>
      <c r="L758" s="37">
        <v>82.766000000000005</v>
      </c>
      <c r="M758" s="37">
        <v>-144.03899999999999</v>
      </c>
      <c r="N758" s="39">
        <f t="shared" ref="N758:N765" si="163">+M758-O758</f>
        <v>-8.4159999999999968</v>
      </c>
      <c r="O758" s="37">
        <v>-135.62299999999999</v>
      </c>
      <c r="P758" s="40">
        <v>0</v>
      </c>
      <c r="Q758" s="40">
        <v>0</v>
      </c>
      <c r="R758" s="41">
        <f t="shared" ref="R758:R765" si="164">SUM(P758:Q758)</f>
        <v>0</v>
      </c>
      <c r="S758" s="42">
        <v>3677</v>
      </c>
    </row>
    <row r="759" spans="2:19" ht="15.75" x14ac:dyDescent="0.25">
      <c r="B759" s="34">
        <f>+B758+1</f>
        <v>2</v>
      </c>
      <c r="C759" s="34" t="s">
        <v>1076</v>
      </c>
      <c r="D759" s="35" t="s">
        <v>1077</v>
      </c>
      <c r="E759" s="36">
        <v>43646</v>
      </c>
      <c r="F759" s="37">
        <v>378.73820999999998</v>
      </c>
      <c r="G759" s="38">
        <v>10</v>
      </c>
      <c r="H759" s="39">
        <f t="shared" si="162"/>
        <v>37.873821</v>
      </c>
      <c r="I759" s="37">
        <v>1127.0642929999999</v>
      </c>
      <c r="J759" s="37">
        <v>1934.5863469999999</v>
      </c>
      <c r="K759" s="37">
        <v>781.83483000000001</v>
      </c>
      <c r="L759" s="37">
        <v>42.627088000000001</v>
      </c>
      <c r="M759" s="37">
        <v>-62.765028000000001</v>
      </c>
      <c r="N759" s="39">
        <f t="shared" si="163"/>
        <v>25.709322</v>
      </c>
      <c r="O759" s="37">
        <v>-88.474350000000001</v>
      </c>
      <c r="P759" s="40">
        <v>0</v>
      </c>
      <c r="Q759" s="40">
        <v>0</v>
      </c>
      <c r="R759" s="41">
        <f t="shared" si="164"/>
        <v>0</v>
      </c>
      <c r="S759" s="42">
        <v>918</v>
      </c>
    </row>
    <row r="760" spans="2:19" ht="15.75" x14ac:dyDescent="0.25">
      <c r="B760" s="34">
        <f t="shared" ref="B760:B765" si="165">+B759+1</f>
        <v>3</v>
      </c>
      <c r="C760" s="34" t="s">
        <v>1078</v>
      </c>
      <c r="D760" s="35" t="s">
        <v>1079</v>
      </c>
      <c r="E760" s="36">
        <v>43646</v>
      </c>
      <c r="F760" s="37">
        <v>1000</v>
      </c>
      <c r="G760" s="38">
        <v>10</v>
      </c>
      <c r="H760" s="39">
        <f>+F760/G760</f>
        <v>100</v>
      </c>
      <c r="I760" s="37">
        <v>1319.1894910000001</v>
      </c>
      <c r="J760" s="37">
        <v>2452.7402379999999</v>
      </c>
      <c r="K760" s="37">
        <v>792.02427</v>
      </c>
      <c r="L760" s="37">
        <v>103.05823100000001</v>
      </c>
      <c r="M760" s="37">
        <v>-147.59878399999999</v>
      </c>
      <c r="N760" s="39">
        <f>+M760-O760</f>
        <v>0</v>
      </c>
      <c r="O760" s="37">
        <v>-147.59878399999999</v>
      </c>
      <c r="P760" s="40">
        <v>0</v>
      </c>
      <c r="Q760" s="40">
        <v>0</v>
      </c>
      <c r="R760" s="41">
        <f>SUM(P760:Q760)</f>
        <v>0</v>
      </c>
      <c r="S760" s="42">
        <v>2355</v>
      </c>
    </row>
    <row r="761" spans="2:19" ht="15.75" x14ac:dyDescent="0.25">
      <c r="B761" s="34">
        <f t="shared" si="165"/>
        <v>4</v>
      </c>
      <c r="C761" s="34" t="s">
        <v>1080</v>
      </c>
      <c r="D761" s="35" t="s">
        <v>1081</v>
      </c>
      <c r="E761" s="36">
        <v>43646</v>
      </c>
      <c r="F761" s="37">
        <v>5415.4266600000001</v>
      </c>
      <c r="G761" s="38">
        <v>10</v>
      </c>
      <c r="H761" s="39">
        <f t="shared" si="162"/>
        <v>541.54266600000005</v>
      </c>
      <c r="I761" s="37">
        <v>15576.209686</v>
      </c>
      <c r="J761" s="37">
        <v>22815.137161999999</v>
      </c>
      <c r="K761" s="37">
        <v>17248.127445999999</v>
      </c>
      <c r="L761" s="37">
        <v>12.520829000000001</v>
      </c>
      <c r="M761" s="37">
        <v>3230.8673690000001</v>
      </c>
      <c r="N761" s="39">
        <f t="shared" si="163"/>
        <v>87.34763299999986</v>
      </c>
      <c r="O761" s="37">
        <v>3143.5197360000002</v>
      </c>
      <c r="P761" s="40">
        <f>30+15</f>
        <v>45</v>
      </c>
      <c r="Q761" s="40">
        <v>0</v>
      </c>
      <c r="R761" s="41">
        <f t="shared" si="164"/>
        <v>45</v>
      </c>
      <c r="S761" s="42">
        <v>2396</v>
      </c>
    </row>
    <row r="762" spans="2:19" ht="15.75" x14ac:dyDescent="0.25">
      <c r="B762" s="34">
        <f t="shared" si="165"/>
        <v>5</v>
      </c>
      <c r="C762" s="60" t="s">
        <v>1082</v>
      </c>
      <c r="D762" s="35" t="s">
        <v>1083</v>
      </c>
      <c r="E762" s="36">
        <v>43646</v>
      </c>
      <c r="F762" s="37">
        <v>374.39530999999999</v>
      </c>
      <c r="G762" s="38">
        <v>10</v>
      </c>
      <c r="H762" s="39">
        <f t="shared" si="162"/>
        <v>37.439531000000002</v>
      </c>
      <c r="I762" s="37">
        <v>838.78971999999999</v>
      </c>
      <c r="J762" s="37">
        <v>1178.2217009999999</v>
      </c>
      <c r="K762" s="37">
        <v>1468.335527</v>
      </c>
      <c r="L762" s="37">
        <v>0</v>
      </c>
      <c r="M762" s="37">
        <v>341.13672400000002</v>
      </c>
      <c r="N762" s="39">
        <f t="shared" si="163"/>
        <v>-8.9898239999999987</v>
      </c>
      <c r="O762" s="37">
        <v>350.12654800000001</v>
      </c>
      <c r="P762" s="40">
        <f>20+30+20</f>
        <v>70</v>
      </c>
      <c r="Q762" s="40">
        <v>0</v>
      </c>
      <c r="R762" s="41">
        <f t="shared" si="164"/>
        <v>70</v>
      </c>
      <c r="S762" s="42">
        <v>881</v>
      </c>
    </row>
    <row r="763" spans="2:19" ht="15.75" x14ac:dyDescent="0.25">
      <c r="B763" s="34">
        <f t="shared" si="165"/>
        <v>6</v>
      </c>
      <c r="C763" s="34" t="s">
        <v>1084</v>
      </c>
      <c r="D763" s="35" t="s">
        <v>1085</v>
      </c>
      <c r="E763" s="36">
        <v>43646</v>
      </c>
      <c r="F763" s="37">
        <v>145.48676</v>
      </c>
      <c r="G763" s="38">
        <v>10</v>
      </c>
      <c r="H763" s="39">
        <f t="shared" si="162"/>
        <v>14.548676</v>
      </c>
      <c r="I763" s="37">
        <v>625.544802</v>
      </c>
      <c r="J763" s="37">
        <v>1596.9708880000001</v>
      </c>
      <c r="K763" s="37">
        <v>1439.2942439999999</v>
      </c>
      <c r="L763" s="37">
        <v>61.809123999999997</v>
      </c>
      <c r="M763" s="37">
        <v>51.497388999999998</v>
      </c>
      <c r="N763" s="39">
        <f t="shared" si="163"/>
        <v>22.619448999999999</v>
      </c>
      <c r="O763" s="37">
        <v>28.877939999999999</v>
      </c>
      <c r="P763" s="40">
        <v>5</v>
      </c>
      <c r="Q763" s="40">
        <v>0</v>
      </c>
      <c r="R763" s="41">
        <f t="shared" si="164"/>
        <v>5</v>
      </c>
      <c r="S763" s="42">
        <v>341</v>
      </c>
    </row>
    <row r="764" spans="2:19" ht="15.75" x14ac:dyDescent="0.25">
      <c r="B764" s="34">
        <f t="shared" si="165"/>
        <v>7</v>
      </c>
      <c r="C764" s="34" t="s">
        <v>1086</v>
      </c>
      <c r="D764" s="35" t="s">
        <v>1087</v>
      </c>
      <c r="E764" s="36">
        <v>43646</v>
      </c>
      <c r="F764" s="37">
        <v>1196.5999999999999</v>
      </c>
      <c r="G764" s="38">
        <v>5</v>
      </c>
      <c r="H764" s="39">
        <f t="shared" si="162"/>
        <v>239.32</v>
      </c>
      <c r="I764" s="37">
        <v>2104.652</v>
      </c>
      <c r="J764" s="37">
        <v>5586.9139999999998</v>
      </c>
      <c r="K764" s="37">
        <v>6933.0770000000002</v>
      </c>
      <c r="L764" s="37">
        <v>86.945999999999998</v>
      </c>
      <c r="M764" s="37">
        <v>372.50400000000002</v>
      </c>
      <c r="N764" s="39">
        <f t="shared" si="163"/>
        <v>138.16300000000001</v>
      </c>
      <c r="O764" s="37">
        <v>234.34100000000001</v>
      </c>
      <c r="P764" s="40">
        <v>5</v>
      </c>
      <c r="Q764" s="40">
        <v>0</v>
      </c>
      <c r="R764" s="41">
        <f t="shared" si="164"/>
        <v>5</v>
      </c>
      <c r="S764" s="42">
        <v>4736</v>
      </c>
    </row>
    <row r="765" spans="2:19" ht="15.75" x14ac:dyDescent="0.25">
      <c r="B765" s="34">
        <f t="shared" si="165"/>
        <v>8</v>
      </c>
      <c r="C765" s="60" t="s">
        <v>1088</v>
      </c>
      <c r="D765" s="35" t="s">
        <v>1089</v>
      </c>
      <c r="E765" s="36">
        <v>43646</v>
      </c>
      <c r="F765" s="37">
        <v>734.58</v>
      </c>
      <c r="G765" s="38">
        <v>10</v>
      </c>
      <c r="H765" s="39">
        <f t="shared" si="162"/>
        <v>73.457999999999998</v>
      </c>
      <c r="I765" s="37">
        <v>6138.8033249999999</v>
      </c>
      <c r="J765" s="37">
        <v>13460.514907999999</v>
      </c>
      <c r="K765" s="37">
        <v>14389.005013</v>
      </c>
      <c r="L765" s="37">
        <v>310.02858099999997</v>
      </c>
      <c r="M765" s="37">
        <v>1854.6423689999999</v>
      </c>
      <c r="N765" s="39">
        <f t="shared" si="163"/>
        <v>530.96396699999991</v>
      </c>
      <c r="O765" s="37">
        <v>1323.678402</v>
      </c>
      <c r="P765" s="40">
        <v>40</v>
      </c>
      <c r="Q765" s="40">
        <v>0</v>
      </c>
      <c r="R765" s="41">
        <f t="shared" si="164"/>
        <v>40</v>
      </c>
      <c r="S765" s="42">
        <v>2281</v>
      </c>
    </row>
    <row r="766" spans="2:19" ht="15.75" x14ac:dyDescent="0.25">
      <c r="B766" s="29"/>
      <c r="C766" s="29"/>
      <c r="D766" s="29"/>
      <c r="E766" s="29"/>
      <c r="F766" s="29"/>
      <c r="G766" s="43"/>
      <c r="H766" s="44"/>
      <c r="I766" s="31"/>
      <c r="J766" s="31"/>
      <c r="K766" s="31"/>
      <c r="L766" s="31"/>
      <c r="M766" s="31"/>
      <c r="N766" s="45"/>
      <c r="O766" s="31"/>
      <c r="P766" s="31"/>
      <c r="Q766" s="31"/>
      <c r="R766" s="45"/>
      <c r="S766" s="31"/>
    </row>
    <row r="767" spans="2:19" ht="18.75" x14ac:dyDescent="0.3">
      <c r="B767" s="29"/>
      <c r="C767" s="29"/>
      <c r="D767" s="56" t="s">
        <v>43</v>
      </c>
      <c r="E767" s="29"/>
      <c r="F767" s="29"/>
      <c r="G767" s="43"/>
      <c r="H767" s="44"/>
      <c r="I767" s="31"/>
      <c r="J767" s="31"/>
      <c r="K767" s="31"/>
      <c r="L767" s="31"/>
      <c r="M767" s="31"/>
      <c r="N767" s="45"/>
      <c r="O767" s="31"/>
      <c r="P767" s="31"/>
      <c r="Q767" s="31"/>
      <c r="R767" s="45"/>
      <c r="S767" s="31"/>
    </row>
    <row r="768" spans="2:19" ht="15.75" x14ac:dyDescent="0.25">
      <c r="B768" s="60">
        <v>1</v>
      </c>
      <c r="C768" s="60" t="s">
        <v>1090</v>
      </c>
      <c r="D768" s="35" t="s">
        <v>1091</v>
      </c>
      <c r="E768" s="36">
        <v>43646</v>
      </c>
      <c r="F768" s="37"/>
      <c r="G768" s="38">
        <v>10</v>
      </c>
      <c r="H768" s="39">
        <f>+F768/G768</f>
        <v>0</v>
      </c>
      <c r="I768" s="37"/>
      <c r="J768" s="37"/>
      <c r="K768" s="37"/>
      <c r="L768" s="37"/>
      <c r="M768" s="37"/>
      <c r="N768" s="39">
        <f>+M768-O768</f>
        <v>0</v>
      </c>
      <c r="O768" s="37"/>
      <c r="P768" s="40"/>
      <c r="Q768" s="40"/>
      <c r="R768" s="41">
        <f>SUM(P768:Q768)</f>
        <v>0</v>
      </c>
      <c r="S768" s="42"/>
    </row>
    <row r="769" spans="2:19" ht="15.75" x14ac:dyDescent="0.25">
      <c r="B769" s="29"/>
      <c r="C769" s="29"/>
      <c r="D769" s="29"/>
      <c r="E769" s="29"/>
      <c r="F769" s="29"/>
      <c r="G769" s="43"/>
      <c r="H769" s="44"/>
      <c r="I769" s="31"/>
      <c r="J769" s="31"/>
      <c r="K769" s="31"/>
      <c r="L769" s="31"/>
      <c r="M769" s="31"/>
      <c r="N769" s="45"/>
      <c r="O769" s="31"/>
      <c r="P769" s="31"/>
      <c r="Q769" s="31"/>
      <c r="R769" s="45"/>
      <c r="S769" s="31"/>
    </row>
    <row r="770" spans="2:19" ht="15.75" x14ac:dyDescent="0.25">
      <c r="B770" s="34">
        <f>COUNT(B758:B769)</f>
        <v>9</v>
      </c>
      <c r="C770" s="34"/>
      <c r="D770" s="48"/>
      <c r="E770" s="48"/>
      <c r="F770" s="48">
        <f>SUM(F758:F769)</f>
        <v>11861.22694</v>
      </c>
      <c r="G770" s="49"/>
      <c r="H770" s="50">
        <f t="shared" ref="H770:O770" si="166">SUM(H758:H769)</f>
        <v>1305.7826940000002</v>
      </c>
      <c r="I770" s="48">
        <f t="shared" si="166"/>
        <v>25135.414317000002</v>
      </c>
      <c r="J770" s="48">
        <f t="shared" si="166"/>
        <v>52169.88524399999</v>
      </c>
      <c r="K770" s="48">
        <f t="shared" si="166"/>
        <v>44173.479330000002</v>
      </c>
      <c r="L770" s="48">
        <f t="shared" si="166"/>
        <v>699.75585299999989</v>
      </c>
      <c r="M770" s="48">
        <f t="shared" si="166"/>
        <v>5496.2450390000004</v>
      </c>
      <c r="N770" s="51">
        <f t="shared" si="166"/>
        <v>787.3975469999998</v>
      </c>
      <c r="O770" s="48">
        <f t="shared" si="166"/>
        <v>4708.8474920000008</v>
      </c>
      <c r="P770" s="52"/>
      <c r="Q770" s="52"/>
      <c r="R770" s="53"/>
      <c r="S770" s="54">
        <f>SUM(S758:S769)</f>
        <v>17585</v>
      </c>
    </row>
    <row r="771" spans="2:19" ht="15.75" x14ac:dyDescent="0.25">
      <c r="B771" s="29"/>
      <c r="C771" s="29"/>
      <c r="D771" s="29"/>
      <c r="E771" s="29"/>
      <c r="F771" s="29"/>
      <c r="G771" s="43"/>
      <c r="H771" s="44"/>
      <c r="I771" s="31"/>
      <c r="J771" s="31"/>
      <c r="K771" s="31"/>
      <c r="L771" s="31"/>
      <c r="M771" s="31"/>
      <c r="N771" s="45"/>
      <c r="O771" s="31"/>
      <c r="P771" s="31"/>
      <c r="Q771" s="31"/>
      <c r="R771" s="45"/>
      <c r="S771" s="31"/>
    </row>
    <row r="772" spans="2:19" ht="15.75" x14ac:dyDescent="0.25">
      <c r="B772" s="29"/>
      <c r="C772" s="29"/>
      <c r="D772" s="29"/>
      <c r="E772" s="29"/>
      <c r="F772" s="29"/>
      <c r="G772" s="43"/>
      <c r="H772" s="44"/>
      <c r="I772" s="31"/>
      <c r="J772" s="31"/>
      <c r="K772" s="31"/>
      <c r="L772" s="31"/>
      <c r="M772" s="31"/>
      <c r="N772" s="45"/>
      <c r="O772" s="31"/>
      <c r="P772" s="31"/>
      <c r="Q772" s="31"/>
      <c r="R772" s="45"/>
      <c r="S772" s="31"/>
    </row>
    <row r="773" spans="2:19" ht="18.75" x14ac:dyDescent="0.3">
      <c r="B773" s="29"/>
      <c r="C773" s="33">
        <v>35</v>
      </c>
      <c r="D773" s="33" t="s">
        <v>1092</v>
      </c>
      <c r="E773" s="61"/>
      <c r="F773" s="61"/>
      <c r="G773" s="43"/>
      <c r="H773" s="44"/>
      <c r="I773" s="31"/>
      <c r="J773" s="31"/>
      <c r="K773" s="31"/>
      <c r="L773" s="31"/>
      <c r="M773" s="31"/>
      <c r="N773" s="45"/>
      <c r="O773" s="31"/>
      <c r="P773" s="31"/>
      <c r="Q773" s="31"/>
      <c r="R773" s="45"/>
      <c r="S773" s="31"/>
    </row>
    <row r="774" spans="2:19" ht="15.75" x14ac:dyDescent="0.25">
      <c r="B774" s="29"/>
      <c r="C774" s="29"/>
      <c r="D774" s="29"/>
      <c r="E774" s="29"/>
      <c r="F774" s="29"/>
      <c r="G774" s="43"/>
      <c r="H774" s="44"/>
      <c r="I774" s="31"/>
      <c r="J774" s="31"/>
      <c r="K774" s="31"/>
      <c r="L774" s="31"/>
      <c r="M774" s="31"/>
      <c r="N774" s="45"/>
      <c r="O774" s="31"/>
      <c r="P774" s="31"/>
      <c r="Q774" s="31"/>
      <c r="R774" s="45"/>
      <c r="S774" s="31"/>
    </row>
    <row r="775" spans="2:19" ht="15.75" x14ac:dyDescent="0.25">
      <c r="B775" s="60">
        <v>1</v>
      </c>
      <c r="C775" s="60" t="s">
        <v>1093</v>
      </c>
      <c r="D775" s="35" t="s">
        <v>1094</v>
      </c>
      <c r="E775" s="36">
        <v>43646</v>
      </c>
      <c r="F775" s="37">
        <v>25.072732999999999</v>
      </c>
      <c r="G775" s="38">
        <v>10</v>
      </c>
      <c r="H775" s="39">
        <f t="shared" ref="H775:H790" si="167">+F775/G775</f>
        <v>2.5072733</v>
      </c>
      <c r="I775" s="37">
        <v>34.044289999999997</v>
      </c>
      <c r="J775" s="37">
        <v>39.523099000000002</v>
      </c>
      <c r="K775" s="37">
        <f>4.5+0.5432</f>
        <v>5.0431999999999997</v>
      </c>
      <c r="L775" s="37">
        <v>0</v>
      </c>
      <c r="M775" s="37">
        <v>-2.4599280000000001</v>
      </c>
      <c r="N775" s="39">
        <f t="shared" ref="N775:N790" si="168">+M775-O775</f>
        <v>0.78733599999999981</v>
      </c>
      <c r="O775" s="37">
        <v>-3.2472639999999999</v>
      </c>
      <c r="P775" s="40">
        <v>0</v>
      </c>
      <c r="Q775" s="40">
        <v>0</v>
      </c>
      <c r="R775" s="41">
        <f t="shared" ref="R775:R790" si="169">SUM(P775:Q775)</f>
        <v>0</v>
      </c>
      <c r="S775" s="42"/>
    </row>
    <row r="776" spans="2:19" ht="15.75" x14ac:dyDescent="0.25">
      <c r="B776" s="60">
        <f>+B775+1</f>
        <v>2</v>
      </c>
      <c r="C776" s="34" t="s">
        <v>1095</v>
      </c>
      <c r="D776" s="35" t="s">
        <v>1096</v>
      </c>
      <c r="E776" s="36">
        <v>43646</v>
      </c>
      <c r="F776" s="37">
        <v>100</v>
      </c>
      <c r="G776" s="38">
        <v>10</v>
      </c>
      <c r="H776" s="39">
        <f t="shared" si="167"/>
        <v>10</v>
      </c>
      <c r="I776" s="37">
        <v>221.97430800000001</v>
      </c>
      <c r="J776" s="37">
        <v>513.98172299999999</v>
      </c>
      <c r="K776" s="37">
        <v>574.51944600000002</v>
      </c>
      <c r="L776" s="37">
        <v>12.375856000000001</v>
      </c>
      <c r="M776" s="37">
        <v>27.773775000000001</v>
      </c>
      <c r="N776" s="39">
        <f t="shared" si="168"/>
        <v>8.3789870000000022</v>
      </c>
      <c r="O776" s="37">
        <v>19.394787999999998</v>
      </c>
      <c r="P776" s="40">
        <v>0</v>
      </c>
      <c r="Q776" s="40">
        <v>0</v>
      </c>
      <c r="R776" s="41">
        <f t="shared" si="169"/>
        <v>0</v>
      </c>
      <c r="S776" s="42">
        <v>370</v>
      </c>
    </row>
    <row r="777" spans="2:19" ht="15.75" x14ac:dyDescent="0.25">
      <c r="B777" s="60">
        <f t="shared" ref="B777:B790" si="170">+B776+1</f>
        <v>3</v>
      </c>
      <c r="C777" s="34" t="s">
        <v>1097</v>
      </c>
      <c r="D777" s="35" t="s">
        <v>1098</v>
      </c>
      <c r="E777" s="36">
        <v>43646</v>
      </c>
      <c r="F777" s="37">
        <v>40</v>
      </c>
      <c r="G777" s="38">
        <v>10</v>
      </c>
      <c r="H777" s="39">
        <f t="shared" si="167"/>
        <v>4</v>
      </c>
      <c r="I777" s="37">
        <v>584.74171899999999</v>
      </c>
      <c r="J777" s="37">
        <v>591.04044150000004</v>
      </c>
      <c r="K777" s="37">
        <v>16.029931999999999</v>
      </c>
      <c r="L777" s="37">
        <v>1.2045E-2</v>
      </c>
      <c r="M777" s="37">
        <v>13.233727999999999</v>
      </c>
      <c r="N777" s="39">
        <f t="shared" si="168"/>
        <v>1.903789999999999</v>
      </c>
      <c r="O777" s="37">
        <v>11.329938</v>
      </c>
      <c r="P777" s="40">
        <v>6</v>
      </c>
      <c r="Q777" s="40">
        <v>0</v>
      </c>
      <c r="R777" s="41">
        <f t="shared" si="169"/>
        <v>6</v>
      </c>
      <c r="S777" s="42">
        <v>873</v>
      </c>
    </row>
    <row r="778" spans="2:19" ht="15.75" x14ac:dyDescent="0.25">
      <c r="B778" s="60">
        <f t="shared" si="170"/>
        <v>4</v>
      </c>
      <c r="C778" s="34" t="s">
        <v>1099</v>
      </c>
      <c r="D778" s="35" t="s">
        <v>1100</v>
      </c>
      <c r="E778" s="36">
        <v>43646</v>
      </c>
      <c r="F778" s="37">
        <v>346.80900000000003</v>
      </c>
      <c r="G778" s="38">
        <v>10</v>
      </c>
      <c r="H778" s="39">
        <f t="shared" si="167"/>
        <v>34.680900000000001</v>
      </c>
      <c r="I778" s="37">
        <v>907.42200000000003</v>
      </c>
      <c r="J778" s="37">
        <v>2566.328</v>
      </c>
      <c r="K778" s="37">
        <v>4074.873</v>
      </c>
      <c r="L778" s="37">
        <v>127.08799999999999</v>
      </c>
      <c r="M778" s="37">
        <v>108.831</v>
      </c>
      <c r="N778" s="39">
        <f t="shared" si="168"/>
        <v>34.019999999999996</v>
      </c>
      <c r="O778" s="37">
        <v>74.811000000000007</v>
      </c>
      <c r="P778" s="40">
        <v>5</v>
      </c>
      <c r="Q778" s="40">
        <v>10</v>
      </c>
      <c r="R778" s="41">
        <f t="shared" si="169"/>
        <v>15</v>
      </c>
      <c r="S778" s="42">
        <v>2598</v>
      </c>
    </row>
    <row r="779" spans="2:19" ht="15.75" x14ac:dyDescent="0.25">
      <c r="B779" s="60">
        <f t="shared" si="170"/>
        <v>5</v>
      </c>
      <c r="C779" s="60" t="s">
        <v>1101</v>
      </c>
      <c r="D779" s="35" t="s">
        <v>1102</v>
      </c>
      <c r="E779" s="36">
        <v>43646</v>
      </c>
      <c r="F779" s="37">
        <v>73.493409999999997</v>
      </c>
      <c r="G779" s="38">
        <v>10</v>
      </c>
      <c r="H779" s="39">
        <f t="shared" si="167"/>
        <v>7.3493409999999999</v>
      </c>
      <c r="I779" s="37">
        <v>339.30638699999997</v>
      </c>
      <c r="J779" s="37">
        <v>382.80969700000003</v>
      </c>
      <c r="K779" s="37">
        <v>305.077473</v>
      </c>
      <c r="L779" s="37">
        <v>0.83160900000000004</v>
      </c>
      <c r="M779" s="37">
        <v>74.990010999999996</v>
      </c>
      <c r="N779" s="39">
        <f t="shared" si="168"/>
        <v>3.4586339999999893</v>
      </c>
      <c r="O779" s="37">
        <v>71.531377000000006</v>
      </c>
      <c r="P779" s="40">
        <v>20</v>
      </c>
      <c r="Q779" s="40">
        <v>0</v>
      </c>
      <c r="R779" s="41">
        <f t="shared" si="169"/>
        <v>20</v>
      </c>
      <c r="S779" s="42">
        <v>373</v>
      </c>
    </row>
    <row r="780" spans="2:19" ht="15.75" x14ac:dyDescent="0.25">
      <c r="B780" s="60">
        <f t="shared" si="170"/>
        <v>6</v>
      </c>
      <c r="C780" s="34" t="s">
        <v>1103</v>
      </c>
      <c r="D780" s="35" t="s">
        <v>1104</v>
      </c>
      <c r="E780" s="36">
        <v>43646</v>
      </c>
      <c r="F780" s="37">
        <v>593.01149999999996</v>
      </c>
      <c r="G780" s="38">
        <v>10</v>
      </c>
      <c r="H780" s="39">
        <f t="shared" si="167"/>
        <v>59.301149999999993</v>
      </c>
      <c r="I780" s="37">
        <v>652.63884399999995</v>
      </c>
      <c r="J780" s="37">
        <v>2496.1595440000001</v>
      </c>
      <c r="K780" s="37">
        <v>2415.3393160000001</v>
      </c>
      <c r="L780" s="37">
        <v>88.709025999999994</v>
      </c>
      <c r="M780" s="37">
        <v>-200.67290800000001</v>
      </c>
      <c r="N780" s="39">
        <f t="shared" si="168"/>
        <v>33.244792999999987</v>
      </c>
      <c r="O780" s="37">
        <v>-233.91770099999999</v>
      </c>
      <c r="P780" s="40">
        <v>0</v>
      </c>
      <c r="Q780" s="40">
        <v>0</v>
      </c>
      <c r="R780" s="41">
        <f t="shared" si="169"/>
        <v>0</v>
      </c>
      <c r="S780" s="42">
        <v>949</v>
      </c>
    </row>
    <row r="781" spans="2:19" ht="15.75" x14ac:dyDescent="0.25">
      <c r="B781" s="60">
        <f t="shared" si="170"/>
        <v>7</v>
      </c>
      <c r="C781" s="60" t="s">
        <v>1105</v>
      </c>
      <c r="D781" s="35" t="s">
        <v>1106</v>
      </c>
      <c r="E781" s="36">
        <v>43646</v>
      </c>
      <c r="F781" s="37">
        <v>2788.7660000000001</v>
      </c>
      <c r="G781" s="38">
        <v>10</v>
      </c>
      <c r="H781" s="39">
        <f t="shared" si="167"/>
        <v>278.8766</v>
      </c>
      <c r="I781" s="37">
        <v>986.44799999999998</v>
      </c>
      <c r="J781" s="37">
        <v>6878.6570000000002</v>
      </c>
      <c r="K781" s="37">
        <v>440.34500000000003</v>
      </c>
      <c r="L781" s="37">
        <v>138.31100000000001</v>
      </c>
      <c r="M781" s="37">
        <v>-922.81899999999996</v>
      </c>
      <c r="N781" s="39">
        <f t="shared" si="168"/>
        <v>6.4329999999999927</v>
      </c>
      <c r="O781" s="37">
        <v>-929.25199999999995</v>
      </c>
      <c r="P781" s="40">
        <v>0</v>
      </c>
      <c r="Q781" s="40">
        <v>0</v>
      </c>
      <c r="R781" s="41">
        <f t="shared" si="169"/>
        <v>0</v>
      </c>
      <c r="S781" s="42">
        <v>10798</v>
      </c>
    </row>
    <row r="782" spans="2:19" ht="15.75" x14ac:dyDescent="0.25">
      <c r="B782" s="60">
        <f t="shared" si="170"/>
        <v>8</v>
      </c>
      <c r="C782" s="60" t="s">
        <v>1107</v>
      </c>
      <c r="D782" s="35" t="s">
        <v>1108</v>
      </c>
      <c r="E782" s="36">
        <v>43646</v>
      </c>
      <c r="F782" s="37">
        <v>180</v>
      </c>
      <c r="G782" s="38">
        <v>10</v>
      </c>
      <c r="H782" s="39">
        <f t="shared" si="167"/>
        <v>18</v>
      </c>
      <c r="I782" s="37">
        <v>9362.2530000000006</v>
      </c>
      <c r="J782" s="37">
        <v>9739.0720000000001</v>
      </c>
      <c r="K782" s="37">
        <v>480.53899999999999</v>
      </c>
      <c r="L782" s="37">
        <v>4.2350000000000003</v>
      </c>
      <c r="M782" s="37">
        <v>55.634</v>
      </c>
      <c r="N782" s="39">
        <f t="shared" si="168"/>
        <v>27.620999999999999</v>
      </c>
      <c r="O782" s="37">
        <v>28.013000000000002</v>
      </c>
      <c r="P782" s="40">
        <f>10</f>
        <v>10</v>
      </c>
      <c r="Q782" s="40">
        <v>0</v>
      </c>
      <c r="R782" s="41">
        <f t="shared" si="169"/>
        <v>10</v>
      </c>
      <c r="S782" s="42">
        <v>398</v>
      </c>
    </row>
    <row r="783" spans="2:19" ht="15.75" x14ac:dyDescent="0.25">
      <c r="B783" s="60">
        <f t="shared" si="170"/>
        <v>9</v>
      </c>
      <c r="C783" s="60" t="s">
        <v>1109</v>
      </c>
      <c r="D783" s="35" t="s">
        <v>1110</v>
      </c>
      <c r="E783" s="36">
        <v>43646</v>
      </c>
      <c r="F783" s="37">
        <v>325.24200000000002</v>
      </c>
      <c r="G783" s="38">
        <v>10</v>
      </c>
      <c r="H783" s="39">
        <f t="shared" si="167"/>
        <v>32.5242</v>
      </c>
      <c r="I783" s="37">
        <v>34904.972000000002</v>
      </c>
      <c r="J783" s="37">
        <v>54056.148999999998</v>
      </c>
      <c r="K783" s="37">
        <v>10138.273999999999</v>
      </c>
      <c r="L783" s="37">
        <v>1154.4939999999999</v>
      </c>
      <c r="M783" s="37">
        <v>-369.03100000000001</v>
      </c>
      <c r="N783" s="39">
        <f t="shared" si="168"/>
        <v>494.36700000000002</v>
      </c>
      <c r="O783" s="37">
        <v>-863.39800000000002</v>
      </c>
      <c r="P783" s="40">
        <v>0</v>
      </c>
      <c r="Q783" s="40">
        <v>0</v>
      </c>
      <c r="R783" s="41">
        <f t="shared" si="169"/>
        <v>0</v>
      </c>
      <c r="S783" s="42"/>
    </row>
    <row r="784" spans="2:19" ht="15.75" x14ac:dyDescent="0.25">
      <c r="B784" s="60">
        <f t="shared" si="170"/>
        <v>10</v>
      </c>
      <c r="C784" s="34" t="s">
        <v>1111</v>
      </c>
      <c r="D784" s="35" t="s">
        <v>1112</v>
      </c>
      <c r="E784" s="36">
        <v>43646</v>
      </c>
      <c r="F784" s="37">
        <v>545.37900000000002</v>
      </c>
      <c r="G784" s="38">
        <v>10</v>
      </c>
      <c r="H784" s="39">
        <f t="shared" si="167"/>
        <v>54.5379</v>
      </c>
      <c r="I784" s="37">
        <v>5647.0590000000002</v>
      </c>
      <c r="J784" s="37">
        <v>11937.659</v>
      </c>
      <c r="K784" s="37">
        <v>11743.625</v>
      </c>
      <c r="L784" s="37">
        <v>95.9</v>
      </c>
      <c r="M784" s="37">
        <v>1073.1369999999999</v>
      </c>
      <c r="N784" s="39">
        <f t="shared" si="168"/>
        <v>295.803</v>
      </c>
      <c r="O784" s="37">
        <v>777.33399999999995</v>
      </c>
      <c r="P784" s="40">
        <v>25.5</v>
      </c>
      <c r="Q784" s="40">
        <v>0</v>
      </c>
      <c r="R784" s="41">
        <f t="shared" si="169"/>
        <v>25.5</v>
      </c>
      <c r="S784" s="42">
        <v>2163</v>
      </c>
    </row>
    <row r="785" spans="2:19" ht="15.75" x14ac:dyDescent="0.25">
      <c r="B785" s="60">
        <f t="shared" si="170"/>
        <v>11</v>
      </c>
      <c r="C785" s="34" t="s">
        <v>1113</v>
      </c>
      <c r="D785" s="35" t="s">
        <v>1114</v>
      </c>
      <c r="E785" s="36">
        <v>43646</v>
      </c>
      <c r="F785" s="37">
        <v>850.85</v>
      </c>
      <c r="G785" s="38">
        <v>10</v>
      </c>
      <c r="H785" s="39">
        <f t="shared" si="167"/>
        <v>85.085000000000008</v>
      </c>
      <c r="I785" s="37">
        <v>2655.1332480000001</v>
      </c>
      <c r="J785" s="37">
        <v>3725.6003110000001</v>
      </c>
      <c r="K785" s="37">
        <v>3431.0450329999999</v>
      </c>
      <c r="L785" s="37">
        <v>76.045398000000006</v>
      </c>
      <c r="M785" s="37">
        <v>288.08788199999998</v>
      </c>
      <c r="N785" s="39">
        <f t="shared" si="168"/>
        <v>46.901808999999986</v>
      </c>
      <c r="O785" s="37">
        <v>241.18607299999999</v>
      </c>
      <c r="P785" s="40">
        <v>6</v>
      </c>
      <c r="Q785" s="40">
        <v>4</v>
      </c>
      <c r="R785" s="41">
        <f t="shared" si="169"/>
        <v>10</v>
      </c>
      <c r="S785" s="42">
        <v>1808</v>
      </c>
    </row>
    <row r="786" spans="2:19" ht="15.75" x14ac:dyDescent="0.25">
      <c r="B786" s="60">
        <f t="shared" si="170"/>
        <v>12</v>
      </c>
      <c r="C786" s="34" t="s">
        <v>1115</v>
      </c>
      <c r="D786" s="35" t="s">
        <v>1116</v>
      </c>
      <c r="E786" s="36">
        <v>43646</v>
      </c>
      <c r="F786" s="37">
        <v>2292.7876999999999</v>
      </c>
      <c r="G786" s="38">
        <v>10</v>
      </c>
      <c r="H786" s="39">
        <f t="shared" si="167"/>
        <v>229.27876999999998</v>
      </c>
      <c r="I786" s="37">
        <v>2717.717365</v>
      </c>
      <c r="J786" s="37">
        <v>4557.392769</v>
      </c>
      <c r="K786" s="37">
        <v>3408.743813</v>
      </c>
      <c r="L786" s="37">
        <v>176.89008699999999</v>
      </c>
      <c r="M786" s="37">
        <v>128.92476400000001</v>
      </c>
      <c r="N786" s="39">
        <f t="shared" si="168"/>
        <v>42.034259000000006</v>
      </c>
      <c r="O786" s="37">
        <v>86.890505000000005</v>
      </c>
      <c r="P786" s="40">
        <v>0</v>
      </c>
      <c r="Q786" s="40">
        <v>0</v>
      </c>
      <c r="R786" s="41">
        <f t="shared" si="169"/>
        <v>0</v>
      </c>
      <c r="S786" s="42">
        <v>3687</v>
      </c>
    </row>
    <row r="787" spans="2:19" ht="15.75" x14ac:dyDescent="0.25">
      <c r="B787" s="60">
        <f t="shared" si="170"/>
        <v>13</v>
      </c>
      <c r="C787" s="34" t="s">
        <v>1117</v>
      </c>
      <c r="D787" s="35" t="s">
        <v>1118</v>
      </c>
      <c r="E787" s="36">
        <v>43646</v>
      </c>
      <c r="F787" s="37">
        <v>3273.9310599999999</v>
      </c>
      <c r="G787" s="38">
        <v>10</v>
      </c>
      <c r="H787" s="39">
        <f>+F787/G787</f>
        <v>327.39310599999999</v>
      </c>
      <c r="I787" s="37">
        <v>6587.8802189999997</v>
      </c>
      <c r="J787" s="37">
        <v>9377.6736579999997</v>
      </c>
      <c r="K787" s="37">
        <v>402.59466900000001</v>
      </c>
      <c r="L787" s="37">
        <v>733.30753300000003</v>
      </c>
      <c r="M787" s="37">
        <v>752.22161000000006</v>
      </c>
      <c r="N787" s="39">
        <f>+M787-O787</f>
        <v>22.159772000000089</v>
      </c>
      <c r="O787" s="37">
        <v>730.06183799999997</v>
      </c>
      <c r="P787" s="40">
        <v>0</v>
      </c>
      <c r="Q787" s="40">
        <f>14</f>
        <v>14</v>
      </c>
      <c r="R787" s="41">
        <f>SUM(P787:Q787)</f>
        <v>14</v>
      </c>
      <c r="S787" s="42">
        <v>272</v>
      </c>
    </row>
    <row r="788" spans="2:19" ht="15.75" x14ac:dyDescent="0.25">
      <c r="B788" s="60">
        <f t="shared" si="170"/>
        <v>14</v>
      </c>
      <c r="C788" s="34" t="s">
        <v>1119</v>
      </c>
      <c r="D788" s="35" t="s">
        <v>1120</v>
      </c>
      <c r="E788" s="36">
        <v>43830</v>
      </c>
      <c r="F788" s="37">
        <v>388</v>
      </c>
      <c r="G788" s="38">
        <v>10</v>
      </c>
      <c r="H788" s="39">
        <f t="shared" si="167"/>
        <v>38.799999999999997</v>
      </c>
      <c r="I788" s="37">
        <v>3259.36</v>
      </c>
      <c r="J788" s="37">
        <v>12329.474</v>
      </c>
      <c r="K788" s="37">
        <v>14683.267</v>
      </c>
      <c r="L788" s="37">
        <v>819.48</v>
      </c>
      <c r="M788" s="37">
        <v>-19.117999999999999</v>
      </c>
      <c r="N788" s="39">
        <f t="shared" si="168"/>
        <v>290.69600000000003</v>
      </c>
      <c r="O788" s="37">
        <v>-309.81400000000002</v>
      </c>
      <c r="P788" s="40">
        <v>0</v>
      </c>
      <c r="Q788" s="40">
        <v>0</v>
      </c>
      <c r="R788" s="41">
        <f t="shared" si="169"/>
        <v>0</v>
      </c>
      <c r="S788" s="42">
        <v>1988</v>
      </c>
    </row>
    <row r="789" spans="2:19" ht="15.75" x14ac:dyDescent="0.25">
      <c r="B789" s="60">
        <f t="shared" si="170"/>
        <v>15</v>
      </c>
      <c r="C789" s="60" t="s">
        <v>1121</v>
      </c>
      <c r="D789" s="35" t="s">
        <v>1122</v>
      </c>
      <c r="E789" s="36">
        <v>43646</v>
      </c>
      <c r="F789" s="37">
        <v>918</v>
      </c>
      <c r="G789" s="38">
        <v>10</v>
      </c>
      <c r="H789" s="39">
        <f t="shared" si="167"/>
        <v>91.8</v>
      </c>
      <c r="I789" s="37">
        <v>307.01</v>
      </c>
      <c r="J789" s="37">
        <v>2464.366</v>
      </c>
      <c r="K789" s="37">
        <v>4048.6170000000002</v>
      </c>
      <c r="L789" s="37">
        <v>324.70800000000003</v>
      </c>
      <c r="M789" s="37">
        <v>-371.81</v>
      </c>
      <c r="N789" s="39">
        <f t="shared" si="168"/>
        <v>178.10399999999998</v>
      </c>
      <c r="O789" s="37">
        <v>-549.91399999999999</v>
      </c>
      <c r="P789" s="40">
        <v>0</v>
      </c>
      <c r="Q789" s="40">
        <v>0</v>
      </c>
      <c r="R789" s="41">
        <f t="shared" si="169"/>
        <v>0</v>
      </c>
      <c r="S789" s="42">
        <v>998</v>
      </c>
    </row>
    <row r="790" spans="2:19" ht="15.75" x14ac:dyDescent="0.25">
      <c r="B790" s="60">
        <f t="shared" si="170"/>
        <v>16</v>
      </c>
      <c r="C790" s="60" t="s">
        <v>1123</v>
      </c>
      <c r="D790" s="35" t="s">
        <v>1124</v>
      </c>
      <c r="E790" s="36">
        <v>43646</v>
      </c>
      <c r="F790" s="37">
        <v>306.70699999999999</v>
      </c>
      <c r="G790" s="38">
        <v>10</v>
      </c>
      <c r="H790" s="39">
        <f t="shared" si="167"/>
        <v>30.6707</v>
      </c>
      <c r="I790" s="37">
        <v>2322.808</v>
      </c>
      <c r="J790" s="37">
        <v>2784.2869999999998</v>
      </c>
      <c r="K790" s="37">
        <v>540.6</v>
      </c>
      <c r="L790" s="37">
        <v>41.542000000000002</v>
      </c>
      <c r="M790" s="37">
        <v>72.86</v>
      </c>
      <c r="N790" s="39">
        <f t="shared" si="168"/>
        <v>22.488999999999997</v>
      </c>
      <c r="O790" s="37">
        <v>50.371000000000002</v>
      </c>
      <c r="P790" s="40">
        <v>2.5</v>
      </c>
      <c r="Q790" s="40">
        <v>15</v>
      </c>
      <c r="R790" s="41">
        <f t="shared" si="169"/>
        <v>17.5</v>
      </c>
      <c r="S790" s="42">
        <v>1476</v>
      </c>
    </row>
    <row r="791" spans="2:19" ht="15.75" x14ac:dyDescent="0.25">
      <c r="B791" s="29"/>
      <c r="C791" s="29"/>
      <c r="D791" s="29"/>
      <c r="E791" s="29"/>
      <c r="F791" s="29"/>
      <c r="G791" s="43"/>
      <c r="H791" s="44"/>
      <c r="I791" s="31"/>
      <c r="J791" s="31"/>
      <c r="K791" s="31"/>
      <c r="L791" s="31"/>
      <c r="M791" s="31"/>
      <c r="N791" s="45"/>
      <c r="O791" s="31"/>
      <c r="P791" s="31"/>
      <c r="Q791" s="31"/>
      <c r="R791" s="45"/>
      <c r="S791" s="31"/>
    </row>
    <row r="792" spans="2:19" ht="18.75" x14ac:dyDescent="0.3">
      <c r="B792" s="29"/>
      <c r="C792" s="29"/>
      <c r="D792" s="56" t="s">
        <v>43</v>
      </c>
      <c r="E792" s="29"/>
      <c r="F792" s="29"/>
      <c r="G792" s="43"/>
      <c r="H792" s="44"/>
      <c r="I792" s="31"/>
      <c r="J792" s="31"/>
      <c r="K792" s="31"/>
      <c r="L792" s="31"/>
      <c r="M792" s="31"/>
      <c r="N792" s="45"/>
      <c r="O792" s="31"/>
      <c r="P792" s="31"/>
      <c r="Q792" s="31"/>
      <c r="R792" s="45"/>
      <c r="S792" s="31"/>
    </row>
    <row r="793" spans="2:19" ht="15.75" x14ac:dyDescent="0.25">
      <c r="B793" s="60">
        <v>1</v>
      </c>
      <c r="C793" s="34" t="s">
        <v>1125</v>
      </c>
      <c r="D793" s="35" t="s">
        <v>1126</v>
      </c>
      <c r="E793" s="36">
        <v>43646</v>
      </c>
      <c r="F793" s="37">
        <v>23.228000000000002</v>
      </c>
      <c r="G793" s="38">
        <v>10</v>
      </c>
      <c r="H793" s="39">
        <f t="shared" ref="H793:H798" si="171">+F793/G793</f>
        <v>2.3228</v>
      </c>
      <c r="I793" s="37">
        <v>6.8914109999999997</v>
      </c>
      <c r="J793" s="37">
        <v>60.000762000000002</v>
      </c>
      <c r="K793" s="37">
        <v>0</v>
      </c>
      <c r="L793" s="37">
        <v>4.8774160000000002</v>
      </c>
      <c r="M793" s="37">
        <v>-8.4855370000000008</v>
      </c>
      <c r="N793" s="39">
        <f t="shared" ref="N793:N798" si="172">+M793-O793</f>
        <v>0</v>
      </c>
      <c r="O793" s="37">
        <v>-8.4855370000000008</v>
      </c>
      <c r="P793" s="40">
        <v>0</v>
      </c>
      <c r="Q793" s="40">
        <v>0</v>
      </c>
      <c r="R793" s="41">
        <f t="shared" ref="R793:R798" si="173">SUM(P793:Q793)</f>
        <v>0</v>
      </c>
      <c r="S793" s="42">
        <v>1309</v>
      </c>
    </row>
    <row r="794" spans="2:19" ht="15.75" x14ac:dyDescent="0.25">
      <c r="B794" s="60">
        <f>+B793+1</f>
        <v>2</v>
      </c>
      <c r="C794" s="60" t="s">
        <v>1127</v>
      </c>
      <c r="D794" s="35" t="s">
        <v>1128</v>
      </c>
      <c r="E794" s="36">
        <v>43646</v>
      </c>
      <c r="F794" s="37">
        <v>90</v>
      </c>
      <c r="G794" s="38">
        <v>10</v>
      </c>
      <c r="H794" s="39">
        <f t="shared" si="171"/>
        <v>9</v>
      </c>
      <c r="I794" s="37">
        <v>180.174477</v>
      </c>
      <c r="J794" s="37">
        <v>386.031249</v>
      </c>
      <c r="K794" s="37">
        <v>0</v>
      </c>
      <c r="L794" s="37">
        <v>4.1989999999999996E-3</v>
      </c>
      <c r="M794" s="37">
        <v>-12.769572999999999</v>
      </c>
      <c r="N794" s="39">
        <f t="shared" si="172"/>
        <v>15.504251999999999</v>
      </c>
      <c r="O794" s="37">
        <v>-28.273824999999999</v>
      </c>
      <c r="P794" s="40">
        <v>0</v>
      </c>
      <c r="Q794" s="40">
        <v>0</v>
      </c>
      <c r="R794" s="41">
        <f t="shared" si="173"/>
        <v>0</v>
      </c>
      <c r="S794" s="42">
        <v>281</v>
      </c>
    </row>
    <row r="795" spans="2:19" ht="15.75" x14ac:dyDescent="0.25">
      <c r="B795" s="60">
        <f t="shared" ref="B795:B798" si="174">+B794+1</f>
        <v>3</v>
      </c>
      <c r="C795" s="34" t="s">
        <v>1129</v>
      </c>
      <c r="D795" s="35" t="s">
        <v>1130</v>
      </c>
      <c r="E795" s="36">
        <v>43646</v>
      </c>
      <c r="F795" s="37">
        <v>282.66230999999999</v>
      </c>
      <c r="G795" s="38">
        <v>10</v>
      </c>
      <c r="H795" s="39">
        <f t="shared" si="171"/>
        <v>28.266230999999998</v>
      </c>
      <c r="I795" s="37">
        <v>732.62016000000006</v>
      </c>
      <c r="J795" s="37">
        <v>990.40768100000003</v>
      </c>
      <c r="K795" s="37">
        <v>201.38816399999999</v>
      </c>
      <c r="L795" s="37">
        <v>1.5291000000000001E-2</v>
      </c>
      <c r="M795" s="37">
        <v>55.380094999999997</v>
      </c>
      <c r="N795" s="39">
        <f t="shared" si="172"/>
        <v>14.975620999999997</v>
      </c>
      <c r="O795" s="37">
        <v>40.404474</v>
      </c>
      <c r="P795" s="40">
        <v>0</v>
      </c>
      <c r="Q795" s="40">
        <v>0</v>
      </c>
      <c r="R795" s="41">
        <f t="shared" si="173"/>
        <v>0</v>
      </c>
      <c r="S795" s="42">
        <v>2415</v>
      </c>
    </row>
    <row r="796" spans="2:19" ht="15.75" x14ac:dyDescent="0.25">
      <c r="B796" s="60">
        <f t="shared" si="174"/>
        <v>4</v>
      </c>
      <c r="C796" s="34" t="s">
        <v>1131</v>
      </c>
      <c r="D796" s="35" t="s">
        <v>1132</v>
      </c>
      <c r="E796" s="36">
        <v>43646</v>
      </c>
      <c r="F796" s="37">
        <v>16.335000000000001</v>
      </c>
      <c r="G796" s="38">
        <v>10</v>
      </c>
      <c r="H796" s="39">
        <f t="shared" si="171"/>
        <v>1.6335000000000002</v>
      </c>
      <c r="I796" s="37">
        <v>-36.110669000000001</v>
      </c>
      <c r="J796" s="37">
        <v>103.10382</v>
      </c>
      <c r="K796" s="37">
        <v>0</v>
      </c>
      <c r="L796" s="37">
        <v>0</v>
      </c>
      <c r="M796" s="37">
        <v>-4.5219370000000003</v>
      </c>
      <c r="N796" s="39">
        <f t="shared" si="172"/>
        <v>0</v>
      </c>
      <c r="O796" s="37">
        <v>-4.5219370000000003</v>
      </c>
      <c r="P796" s="40">
        <v>0</v>
      </c>
      <c r="Q796" s="40">
        <v>0</v>
      </c>
      <c r="R796" s="41">
        <f t="shared" si="173"/>
        <v>0</v>
      </c>
      <c r="S796" s="42">
        <v>636</v>
      </c>
    </row>
    <row r="797" spans="2:19" ht="15.75" x14ac:dyDescent="0.25">
      <c r="B797" s="60">
        <f t="shared" si="174"/>
        <v>5</v>
      </c>
      <c r="C797" s="34" t="s">
        <v>1133</v>
      </c>
      <c r="D797" s="35" t="s">
        <v>1134</v>
      </c>
      <c r="E797" s="36">
        <v>43646</v>
      </c>
      <c r="F797" s="37"/>
      <c r="G797" s="38">
        <v>5</v>
      </c>
      <c r="H797" s="39">
        <f t="shared" si="171"/>
        <v>0</v>
      </c>
      <c r="I797" s="37"/>
      <c r="J797" s="37"/>
      <c r="K797" s="37"/>
      <c r="L797" s="37"/>
      <c r="M797" s="37"/>
      <c r="N797" s="39">
        <f t="shared" si="172"/>
        <v>0</v>
      </c>
      <c r="O797" s="37"/>
      <c r="P797" s="40"/>
      <c r="Q797" s="40"/>
      <c r="R797" s="41">
        <f t="shared" si="173"/>
        <v>0</v>
      </c>
      <c r="S797" s="42"/>
    </row>
    <row r="798" spans="2:19" ht="15.75" x14ac:dyDescent="0.25">
      <c r="B798" s="60">
        <f t="shared" si="174"/>
        <v>6</v>
      </c>
      <c r="C798" s="60" t="s">
        <v>1135</v>
      </c>
      <c r="D798" s="35" t="s">
        <v>1136</v>
      </c>
      <c r="E798" s="36">
        <v>43646</v>
      </c>
      <c r="F798" s="37">
        <v>73.554000000000002</v>
      </c>
      <c r="G798" s="38">
        <v>10</v>
      </c>
      <c r="H798" s="39">
        <f t="shared" si="171"/>
        <v>7.3554000000000004</v>
      </c>
      <c r="I798" s="37">
        <v>-52.958852999999998</v>
      </c>
      <c r="J798" s="37">
        <f>61.200626+20.253702</f>
        <v>81.454328000000004</v>
      </c>
      <c r="K798" s="37">
        <v>0</v>
      </c>
      <c r="L798" s="37">
        <v>4.6519999999999999E-3</v>
      </c>
      <c r="M798" s="37">
        <v>-19.217655000000001</v>
      </c>
      <c r="N798" s="39">
        <f t="shared" si="172"/>
        <v>0</v>
      </c>
      <c r="O798" s="37">
        <v>-19.217655000000001</v>
      </c>
      <c r="P798" s="40">
        <v>0</v>
      </c>
      <c r="Q798" s="40">
        <v>0</v>
      </c>
      <c r="R798" s="41">
        <f t="shared" si="173"/>
        <v>0</v>
      </c>
      <c r="S798" s="42">
        <v>2665</v>
      </c>
    </row>
    <row r="799" spans="2:19" ht="15.75" x14ac:dyDescent="0.25">
      <c r="B799" s="29"/>
      <c r="C799" s="29"/>
      <c r="D799" s="29"/>
      <c r="E799" s="29"/>
      <c r="F799" s="29"/>
      <c r="G799" s="43"/>
      <c r="H799" s="44"/>
      <c r="I799" s="31"/>
      <c r="J799" s="31"/>
      <c r="K799" s="31"/>
      <c r="L799" s="31"/>
      <c r="M799" s="31"/>
      <c r="N799" s="45"/>
      <c r="O799" s="31"/>
      <c r="P799" s="31"/>
      <c r="Q799" s="31"/>
      <c r="R799" s="45"/>
      <c r="S799" s="31"/>
    </row>
    <row r="800" spans="2:19" ht="15.75" x14ac:dyDescent="0.25">
      <c r="B800" s="34">
        <f>COUNT(B775:B799)</f>
        <v>22</v>
      </c>
      <c r="C800" s="34"/>
      <c r="D800" s="48"/>
      <c r="E800" s="48"/>
      <c r="F800" s="48">
        <f>SUM(F775:F799)</f>
        <v>13533.828712999999</v>
      </c>
      <c r="G800" s="49"/>
      <c r="H800" s="50">
        <f t="shared" ref="H800:O800" si="175">SUM(H775:H799)</f>
        <v>1353.3828712999996</v>
      </c>
      <c r="I800" s="48">
        <f t="shared" si="175"/>
        <v>72321.384905999992</v>
      </c>
      <c r="J800" s="48">
        <f t="shared" si="175"/>
        <v>126061.1710825</v>
      </c>
      <c r="K800" s="48">
        <f t="shared" si="175"/>
        <v>56909.921046000003</v>
      </c>
      <c r="L800" s="48">
        <f t="shared" si="175"/>
        <v>3798.8311120000003</v>
      </c>
      <c r="M800" s="48">
        <f t="shared" si="175"/>
        <v>720.16832699999986</v>
      </c>
      <c r="N800" s="51">
        <f t="shared" si="175"/>
        <v>1538.8822530000002</v>
      </c>
      <c r="O800" s="48">
        <f t="shared" si="175"/>
        <v>-818.71392600000001</v>
      </c>
      <c r="P800" s="52"/>
      <c r="Q800" s="52"/>
      <c r="R800" s="53"/>
      <c r="S800" s="54">
        <f>SUM(S775:S799)</f>
        <v>36057</v>
      </c>
    </row>
    <row r="801" spans="2:19" ht="15.75" x14ac:dyDescent="0.25">
      <c r="B801" s="29"/>
      <c r="C801" s="29"/>
      <c r="D801" s="29"/>
      <c r="E801" s="29"/>
      <c r="F801" s="29"/>
      <c r="G801" s="29"/>
      <c r="H801" s="30"/>
      <c r="I801" s="31"/>
      <c r="J801" s="31"/>
      <c r="K801" s="31"/>
      <c r="L801" s="31"/>
      <c r="M801" s="31"/>
      <c r="N801" s="32"/>
      <c r="O801" s="31"/>
      <c r="P801" s="31"/>
      <c r="Q801" s="31"/>
      <c r="R801" s="32"/>
      <c r="S801" s="31"/>
    </row>
  </sheetData>
  <mergeCells count="2">
    <mergeCell ref="D1:F1"/>
    <mergeCell ref="D78:F78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2022-03-10T07:01:03Z</dcterms:created>
  <dcterms:modified xsi:type="dcterms:W3CDTF">2022-03-10T07:01:54Z</dcterms:modified>
</cp:coreProperties>
</file>